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9705" yWindow="-150" windowWidth="9495" windowHeight="12240" tabRatio="793" firstSheet="1" activeTab="1"/>
  </bookViews>
  <sheets>
    <sheet name="Сводный" sheetId="52" r:id="rId1"/>
    <sheet name="Утеплители " sheetId="31" r:id="rId2"/>
    <sheet name="Паро-гидробарьеры" sheetId="13" r:id="rId3"/>
    <sheet name="Плиты ОSB-3" sheetId="2" r:id="rId4"/>
    <sheet name="Кровельные саморезы" sheetId="11" r:id="rId5"/>
    <sheet name="Водосточные системы Билка" sheetId="60" r:id="rId6"/>
    <sheet name="Водосточные системы Scala " sheetId="55" r:id="rId7"/>
    <sheet name="водосточные системы Bryza " sheetId="56" r:id="rId8"/>
    <sheet name="Софиты Bryza" sheetId="22" r:id="rId9"/>
    <sheet name="Мансардные окна и лест. Fak " sheetId="57" r:id="rId10"/>
    <sheet name="Мансардные окна Velux " sheetId="58" r:id="rId11"/>
    <sheet name="ЛКМ" sheetId="59" r:id="rId12"/>
    <sheet name="Абр. круги, Электроды" sheetId="47" r:id="rId13"/>
    <sheet name="Метизы разные" sheetId="45" state="hidden" r:id="rId14"/>
  </sheets>
  <definedNames>
    <definedName name="_xlnm._FilterDatabase" localSheetId="6" hidden="1">'Водосточные системы Scala '!$A$4:$AT$45</definedName>
    <definedName name="_xlnm._FilterDatabase" localSheetId="5" hidden="1">'Водосточные системы Билка'!$C$1:$C$41</definedName>
    <definedName name="_xlnm.Print_Area" localSheetId="12">'Абр. круги, Электроды'!$A$1:$G$12</definedName>
    <definedName name="_xlnm.Print_Area" localSheetId="7">'водосточные системы Bryza '!$A$1:$BN$25</definedName>
    <definedName name="_xlnm.Print_Area" localSheetId="6">'Водосточные системы Scala '!$A$1:$AT$45</definedName>
    <definedName name="_xlnm.Print_Area" localSheetId="5">'Водосточные системы Билка'!$A$1:$V$40</definedName>
    <definedName name="_xlnm.Print_Area" localSheetId="4">'Кровельные саморезы'!$A$1:$AI$21</definedName>
    <definedName name="_xlnm.Print_Area" localSheetId="11">ЛКМ!$A$1:$L$17</definedName>
    <definedName name="_xlnm.Print_Area" localSheetId="10">'Мансардные окна Velux '!$A$1:$Y$129</definedName>
    <definedName name="_xlnm.Print_Area" localSheetId="9">'Мансардные окна и лест. Fak '!$A$1:$Y$255</definedName>
    <definedName name="_xlnm.Print_Area" localSheetId="13">'Метизы разные'!$A$1:$E$345</definedName>
    <definedName name="_xlnm.Print_Area" localSheetId="2">'Паро-гидробарьеры'!$A$1:$AT$57</definedName>
    <definedName name="_xlnm.Print_Area" localSheetId="0">Сводный!$A$1:$H$60</definedName>
    <definedName name="_xlnm.Print_Area" localSheetId="8">'Софиты Bryza'!$A$1:$BC$12</definedName>
    <definedName name="_xlnm.Print_Area" localSheetId="1">'Утеплители '!$A$1:$U$42</definedName>
  </definedNames>
  <calcPr calcId="145621" refMode="R1C1"/>
</workbook>
</file>

<file path=xl/calcChain.xml><?xml version="1.0" encoding="utf-8"?>
<calcChain xmlns="http://schemas.openxmlformats.org/spreadsheetml/2006/main">
  <c r="I8" i="11" l="1"/>
  <c r="AA8" i="11"/>
  <c r="AB8" i="11"/>
  <c r="AC8" i="11"/>
  <c r="J8" i="11" s="1"/>
  <c r="J17" i="31"/>
  <c r="J16" i="31"/>
  <c r="J15" i="31"/>
  <c r="J14" i="31"/>
  <c r="AD8" i="11" l="1"/>
  <c r="S27" i="31"/>
  <c r="S28" i="31"/>
  <c r="S29" i="31"/>
  <c r="S26" i="31"/>
  <c r="S19" i="31"/>
  <c r="S20" i="31"/>
  <c r="S21" i="31"/>
  <c r="S18" i="31"/>
  <c r="M17" i="31"/>
  <c r="Q17" i="31"/>
  <c r="R17" i="31" s="1"/>
  <c r="S17" i="31"/>
  <c r="Q16" i="31"/>
  <c r="R16" i="31" s="1"/>
  <c r="S16" i="31"/>
  <c r="M16" i="31" s="1"/>
  <c r="Q15" i="31"/>
  <c r="R15" i="31" s="1"/>
  <c r="S13" i="31"/>
  <c r="S14" i="31"/>
  <c r="S15" i="31"/>
  <c r="S12" i="31"/>
  <c r="M15" i="31"/>
  <c r="M14" i="31"/>
  <c r="Q14" i="31"/>
  <c r="R14" i="31" s="1"/>
  <c r="P19" i="60" l="1"/>
  <c r="P18" i="60"/>
  <c r="J10" i="59" l="1"/>
  <c r="F5" i="55"/>
  <c r="K11" i="13"/>
  <c r="I25" i="60" l="1"/>
  <c r="J25" i="60" s="1"/>
  <c r="F25" i="60" s="1"/>
  <c r="I26" i="60"/>
  <c r="J26" i="60" s="1"/>
  <c r="F26" i="60" s="1"/>
  <c r="I27" i="60"/>
  <c r="J27" i="60" s="1"/>
  <c r="F27" i="60" s="1"/>
  <c r="I28" i="60"/>
  <c r="J28" i="60" s="1"/>
  <c r="F28" i="60" s="1"/>
  <c r="I29" i="60"/>
  <c r="J29" i="60" s="1"/>
  <c r="F29" i="60" s="1"/>
  <c r="I30" i="60"/>
  <c r="J30" i="60" s="1"/>
  <c r="F30" i="60" s="1"/>
  <c r="I31" i="60"/>
  <c r="J31" i="60" s="1"/>
  <c r="F31" i="60" s="1"/>
  <c r="I32" i="60"/>
  <c r="J32" i="60" s="1"/>
  <c r="F32" i="60" s="1"/>
  <c r="I33" i="60"/>
  <c r="J33" i="60" s="1"/>
  <c r="F33" i="60" s="1"/>
  <c r="I34" i="60"/>
  <c r="J34" i="60" s="1"/>
  <c r="F34" i="60" s="1"/>
  <c r="I35" i="60"/>
  <c r="J35" i="60" s="1"/>
  <c r="F35" i="60" s="1"/>
  <c r="I36" i="60"/>
  <c r="J36" i="60" s="1"/>
  <c r="F36" i="60" s="1"/>
  <c r="I24" i="60"/>
  <c r="J24" i="60" s="1"/>
  <c r="F24" i="60" s="1"/>
  <c r="AQ53" i="13" l="1"/>
  <c r="J53" i="13" s="1"/>
  <c r="AQ54" i="13"/>
  <c r="J54" i="13" s="1"/>
  <c r="AQ55" i="13"/>
  <c r="J55" i="13" s="1"/>
  <c r="AQ52" i="13"/>
  <c r="J52" i="13" s="1"/>
  <c r="J23" i="13" l="1"/>
  <c r="J25" i="13"/>
  <c r="J24" i="13"/>
  <c r="BA8" i="2" l="1"/>
  <c r="S22" i="31" l="1"/>
  <c r="S23" i="31"/>
  <c r="S24" i="31"/>
  <c r="S25" i="31"/>
  <c r="AT7" i="22" l="1"/>
  <c r="AW7" i="22" s="1"/>
  <c r="AZ7" i="22" s="1"/>
  <c r="AT8" i="22"/>
  <c r="AW8" i="22" s="1"/>
  <c r="AZ8" i="22" s="1"/>
  <c r="AS7" i="22"/>
  <c r="AV7" i="22" s="1"/>
  <c r="AY7" i="22" s="1"/>
  <c r="AS8" i="22"/>
  <c r="AV8" i="22" s="1"/>
  <c r="AY8" i="22" s="1"/>
  <c r="AR7" i="22"/>
  <c r="AU7" i="22" s="1"/>
  <c r="AX7" i="22" s="1"/>
  <c r="AR8" i="22"/>
  <c r="AU8" i="22" s="1"/>
  <c r="AX8" i="22" s="1"/>
  <c r="AS6" i="22"/>
  <c r="AV6" i="22" s="1"/>
  <c r="AY6" i="22" s="1"/>
  <c r="AT6" i="22"/>
  <c r="AW6" i="22" s="1"/>
  <c r="AZ6" i="22" s="1"/>
  <c r="AR6" i="22"/>
  <c r="AU6" i="22" s="1"/>
  <c r="AX6" i="22" s="1"/>
  <c r="BA6" i="22" l="1"/>
  <c r="H6" i="22"/>
  <c r="J6" i="22"/>
  <c r="BC6" i="22"/>
  <c r="H8" i="22"/>
  <c r="BA8" i="22"/>
  <c r="I8" i="22"/>
  <c r="BB8" i="22"/>
  <c r="J8" i="22"/>
  <c r="BC8" i="22"/>
  <c r="I6" i="22"/>
  <c r="BB6" i="22"/>
  <c r="H7" i="22"/>
  <c r="BA7" i="22"/>
  <c r="I7" i="22"/>
  <c r="BB7" i="22"/>
  <c r="J7" i="22"/>
  <c r="BC7" i="22"/>
  <c r="R8" i="60"/>
  <c r="S8" i="60" s="1"/>
  <c r="AW6" i="55" l="1"/>
  <c r="AV6" i="55" s="1"/>
  <c r="AW7" i="55"/>
  <c r="AV7" i="55" s="1"/>
  <c r="AW8" i="55"/>
  <c r="AV8" i="55" s="1"/>
  <c r="AW9" i="55"/>
  <c r="AV9" i="55" s="1"/>
  <c r="AW10" i="55"/>
  <c r="AV10" i="55" s="1"/>
  <c r="AW11" i="55"/>
  <c r="AV11" i="55" s="1"/>
  <c r="AW12" i="55"/>
  <c r="AV12" i="55" s="1"/>
  <c r="AW13" i="55"/>
  <c r="AV13" i="55" s="1"/>
  <c r="AW14" i="55"/>
  <c r="AV14" i="55" s="1"/>
  <c r="AW15" i="55"/>
  <c r="AV15" i="55" s="1"/>
  <c r="AW16" i="55"/>
  <c r="AV16" i="55" s="1"/>
  <c r="AW17" i="55"/>
  <c r="AV17" i="55" s="1"/>
  <c r="AW18" i="55"/>
  <c r="AV18" i="55" s="1"/>
  <c r="AW19" i="55"/>
  <c r="AV19" i="55" s="1"/>
  <c r="AW20" i="55"/>
  <c r="AV20" i="55" s="1"/>
  <c r="AW21" i="55"/>
  <c r="AV21" i="55" s="1"/>
  <c r="AW22" i="55"/>
  <c r="AV22" i="55" s="1"/>
  <c r="AW23" i="55"/>
  <c r="AV23" i="55" s="1"/>
  <c r="AW24" i="55"/>
  <c r="AV24" i="55" s="1"/>
  <c r="AW25" i="55"/>
  <c r="AV25" i="55" s="1"/>
  <c r="AW26" i="55"/>
  <c r="AV26" i="55" s="1"/>
  <c r="AW27" i="55"/>
  <c r="AV27" i="55" s="1"/>
  <c r="AW28" i="55"/>
  <c r="AV28" i="55" s="1"/>
  <c r="AW29" i="55"/>
  <c r="AV29" i="55" s="1"/>
  <c r="AW30" i="55"/>
  <c r="AV30" i="55" s="1"/>
  <c r="AW31" i="55"/>
  <c r="AV31" i="55" s="1"/>
  <c r="AW32" i="55"/>
  <c r="AV32" i="55" s="1"/>
  <c r="AW33" i="55"/>
  <c r="AV33" i="55" s="1"/>
  <c r="AW34" i="55"/>
  <c r="AV34" i="55" s="1"/>
  <c r="AW35" i="55"/>
  <c r="AV35" i="55" s="1"/>
  <c r="AW36" i="55"/>
  <c r="AV36" i="55" s="1"/>
  <c r="AW37" i="55"/>
  <c r="AV37" i="55" s="1"/>
  <c r="AW38" i="55"/>
  <c r="AV38" i="55" s="1"/>
  <c r="AW39" i="55"/>
  <c r="AV39" i="55" s="1"/>
  <c r="AW40" i="55"/>
  <c r="AV40" i="55" s="1"/>
  <c r="AW41" i="55"/>
  <c r="AV41" i="55" s="1"/>
  <c r="AW42" i="55"/>
  <c r="AV42" i="55" s="1"/>
  <c r="AW43" i="55"/>
  <c r="AV43" i="55" s="1"/>
  <c r="AW44" i="55"/>
  <c r="AV44" i="55" s="1"/>
  <c r="AW45" i="55"/>
  <c r="AV45" i="55" s="1"/>
  <c r="AW5" i="55"/>
  <c r="AV5" i="55" s="1"/>
  <c r="AY5" i="55" s="1"/>
  <c r="BA5" i="55" s="1"/>
  <c r="F42" i="55" l="1"/>
  <c r="AY42" i="55" s="1"/>
  <c r="BA42" i="55" s="1"/>
  <c r="AX42" i="55"/>
  <c r="F38" i="55"/>
  <c r="AY38" i="55" s="1"/>
  <c r="BA38" i="55" s="1"/>
  <c r="AX38" i="55"/>
  <c r="F34" i="55"/>
  <c r="AY34" i="55" s="1"/>
  <c r="BA34" i="55" s="1"/>
  <c r="AX34" i="55"/>
  <c r="F30" i="55"/>
  <c r="AY30" i="55" s="1"/>
  <c r="BA30" i="55" s="1"/>
  <c r="AX30" i="55"/>
  <c r="F43" i="55"/>
  <c r="AY43" i="55" s="1"/>
  <c r="BA43" i="55" s="1"/>
  <c r="AX43" i="55"/>
  <c r="F39" i="55"/>
  <c r="AY39" i="55" s="1"/>
  <c r="BA39" i="55" s="1"/>
  <c r="AX39" i="55"/>
  <c r="F35" i="55"/>
  <c r="AY35" i="55" s="1"/>
  <c r="BA35" i="55" s="1"/>
  <c r="AX35" i="55"/>
  <c r="F33" i="55"/>
  <c r="AY33" i="55" s="1"/>
  <c r="BA33" i="55" s="1"/>
  <c r="AX33" i="55"/>
  <c r="F25" i="55"/>
  <c r="AY25" i="55" s="1"/>
  <c r="BA25" i="55" s="1"/>
  <c r="AX25" i="55"/>
  <c r="F23" i="55"/>
  <c r="AY23" i="55" s="1"/>
  <c r="BA23" i="55" s="1"/>
  <c r="AX23" i="55"/>
  <c r="F21" i="55"/>
  <c r="AY21" i="55" s="1"/>
  <c r="BA21" i="55" s="1"/>
  <c r="AX21" i="55"/>
  <c r="F17" i="55"/>
  <c r="AY17" i="55" s="1"/>
  <c r="BA17" i="55" s="1"/>
  <c r="AX17" i="55"/>
  <c r="F15" i="55"/>
  <c r="AY15" i="55" s="1"/>
  <c r="BA15" i="55" s="1"/>
  <c r="AX15" i="55"/>
  <c r="F11" i="55"/>
  <c r="AY11" i="55" s="1"/>
  <c r="BA11" i="55" s="1"/>
  <c r="AX11" i="55"/>
  <c r="F9" i="55"/>
  <c r="AY9" i="55" s="1"/>
  <c r="BA9" i="55" s="1"/>
  <c r="AX9" i="55"/>
  <c r="F7" i="55"/>
  <c r="AY7" i="55" s="1"/>
  <c r="BA7" i="55" s="1"/>
  <c r="AX7" i="55"/>
  <c r="F44" i="55"/>
  <c r="AY44" i="55" s="1"/>
  <c r="BA44" i="55" s="1"/>
  <c r="AX44" i="55"/>
  <c r="F40" i="55"/>
  <c r="AY40" i="55" s="1"/>
  <c r="BA40" i="55" s="1"/>
  <c r="AX40" i="55"/>
  <c r="F36" i="55"/>
  <c r="AY36" i="55" s="1"/>
  <c r="BA36" i="55" s="1"/>
  <c r="AX36" i="55"/>
  <c r="F32" i="55"/>
  <c r="AY32" i="55" s="1"/>
  <c r="BA32" i="55" s="1"/>
  <c r="AX32" i="55"/>
  <c r="F28" i="55"/>
  <c r="AY28" i="55" s="1"/>
  <c r="BA28" i="55" s="1"/>
  <c r="AX28" i="55"/>
  <c r="F26" i="55"/>
  <c r="AY26" i="55" s="1"/>
  <c r="BA26" i="55" s="1"/>
  <c r="AX26" i="55"/>
  <c r="F24" i="55"/>
  <c r="AY24" i="55" s="1"/>
  <c r="BA24" i="55" s="1"/>
  <c r="AX24" i="55"/>
  <c r="F22" i="55"/>
  <c r="AY22" i="55" s="1"/>
  <c r="BA22" i="55" s="1"/>
  <c r="AX22" i="55"/>
  <c r="F20" i="55"/>
  <c r="AY20" i="55" s="1"/>
  <c r="BA20" i="55" s="1"/>
  <c r="AX20" i="55"/>
  <c r="F18" i="55"/>
  <c r="AY18" i="55" s="1"/>
  <c r="BA18" i="55" s="1"/>
  <c r="AX18" i="55"/>
  <c r="F16" i="55"/>
  <c r="AY16" i="55" s="1"/>
  <c r="BA16" i="55" s="1"/>
  <c r="AX16" i="55"/>
  <c r="F14" i="55"/>
  <c r="AY14" i="55" s="1"/>
  <c r="BA14" i="55" s="1"/>
  <c r="AX14" i="55"/>
  <c r="F6" i="55"/>
  <c r="AY6" i="55" s="1"/>
  <c r="BA6" i="55" s="1"/>
  <c r="AX6" i="55"/>
  <c r="AX5" i="55"/>
  <c r="AX45" i="55"/>
  <c r="F45" i="55"/>
  <c r="AY45" i="55" s="1"/>
  <c r="BA45" i="55" s="1"/>
  <c r="F41" i="55"/>
  <c r="AY41" i="55" s="1"/>
  <c r="BA41" i="55" s="1"/>
  <c r="AX41" i="55"/>
  <c r="AX37" i="55"/>
  <c r="F37" i="55"/>
  <c r="AY37" i="55" s="1"/>
  <c r="BA37" i="55" s="1"/>
  <c r="F31" i="55"/>
  <c r="AY31" i="55" s="1"/>
  <c r="BA31" i="55" s="1"/>
  <c r="AX31" i="55"/>
  <c r="AX29" i="55"/>
  <c r="F29" i="55"/>
  <c r="AY29" i="55" s="1"/>
  <c r="BA29" i="55" s="1"/>
  <c r="F27" i="55"/>
  <c r="AY27" i="55" s="1"/>
  <c r="BA27" i="55" s="1"/>
  <c r="AX27" i="55"/>
  <c r="AX19" i="55"/>
  <c r="F19" i="55"/>
  <c r="AY19" i="55" s="1"/>
  <c r="BA19" i="55" s="1"/>
  <c r="F13" i="55"/>
  <c r="AY13" i="55" s="1"/>
  <c r="BA13" i="55" s="1"/>
  <c r="AX13" i="55"/>
  <c r="F12" i="55"/>
  <c r="AY12" i="55" s="1"/>
  <c r="BA12" i="55" s="1"/>
  <c r="AX12" i="55"/>
  <c r="F10" i="55"/>
  <c r="AY10" i="55" s="1"/>
  <c r="BA10" i="55" s="1"/>
  <c r="AX10" i="55"/>
  <c r="F8" i="55"/>
  <c r="AY8" i="55" s="1"/>
  <c r="BA8" i="55" s="1"/>
  <c r="AX8" i="55"/>
  <c r="M10" i="60"/>
  <c r="R10" i="60" s="1"/>
  <c r="S10" i="60" s="1"/>
  <c r="M11" i="60"/>
  <c r="R11" i="60" s="1"/>
  <c r="S11" i="60" s="1"/>
  <c r="M12" i="60"/>
  <c r="R12" i="60" s="1"/>
  <c r="S12" i="60" s="1"/>
  <c r="M13" i="60"/>
  <c r="R13" i="60" s="1"/>
  <c r="S13" i="60" s="1"/>
  <c r="M14" i="60"/>
  <c r="R14" i="60" s="1"/>
  <c r="S14" i="60" s="1"/>
  <c r="M15" i="60"/>
  <c r="R15" i="60" s="1"/>
  <c r="S15" i="60" s="1"/>
  <c r="M16" i="60"/>
  <c r="R16" i="60" s="1"/>
  <c r="S16" i="60" s="1"/>
  <c r="M17" i="60"/>
  <c r="R17" i="60" s="1"/>
  <c r="S17" i="60" s="1"/>
  <c r="M9" i="60"/>
  <c r="R9" i="60" s="1"/>
  <c r="S9" i="60" s="1"/>
  <c r="M6" i="60"/>
  <c r="R6" i="60" s="1"/>
  <c r="S6" i="60" s="1"/>
  <c r="M7" i="60"/>
  <c r="R7" i="60" s="1"/>
  <c r="S7" i="60" s="1"/>
  <c r="M5" i="60"/>
  <c r="R5" i="60" s="1"/>
  <c r="S5" i="60" s="1"/>
  <c r="AQ49" i="13" l="1"/>
  <c r="J49" i="13" s="1"/>
  <c r="F8" i="60" l="1"/>
  <c r="U8" i="60"/>
  <c r="L6" i="60"/>
  <c r="L7" i="60"/>
  <c r="L8" i="60"/>
  <c r="L9" i="60"/>
  <c r="L10" i="60"/>
  <c r="L11" i="60"/>
  <c r="L12" i="60"/>
  <c r="L13" i="60"/>
  <c r="L14" i="60"/>
  <c r="L15" i="60"/>
  <c r="L16" i="60"/>
  <c r="L17" i="60"/>
  <c r="L18" i="60"/>
  <c r="L5" i="60"/>
  <c r="T8" i="60"/>
  <c r="Q8" i="60"/>
  <c r="P9" i="60"/>
  <c r="P13" i="60"/>
  <c r="P6" i="60"/>
  <c r="P7" i="60"/>
  <c r="P8" i="60"/>
  <c r="P10" i="60"/>
  <c r="P11" i="60"/>
  <c r="P12" i="60"/>
  <c r="P14" i="60"/>
  <c r="P15" i="60"/>
  <c r="P16" i="60"/>
  <c r="P17" i="60"/>
  <c r="P5" i="60"/>
  <c r="T6" i="60"/>
  <c r="T7" i="60"/>
  <c r="T9" i="60"/>
  <c r="T10" i="60"/>
  <c r="T11" i="60"/>
  <c r="T12" i="60"/>
  <c r="T13" i="60"/>
  <c r="T14" i="60"/>
  <c r="T15" i="60"/>
  <c r="T16" i="60"/>
  <c r="T17" i="60"/>
  <c r="U5" i="60"/>
  <c r="I6" i="60"/>
  <c r="J6" i="60" s="1"/>
  <c r="I7" i="60"/>
  <c r="J7" i="60" s="1"/>
  <c r="I8" i="60"/>
  <c r="J8" i="60" s="1"/>
  <c r="I9" i="60"/>
  <c r="J9" i="60" s="1"/>
  <c r="I10" i="60"/>
  <c r="J10" i="60" s="1"/>
  <c r="I11" i="60"/>
  <c r="J11" i="60" s="1"/>
  <c r="I12" i="60"/>
  <c r="J12" i="60" s="1"/>
  <c r="I13" i="60"/>
  <c r="J13" i="60" s="1"/>
  <c r="I14" i="60"/>
  <c r="J14" i="60" s="1"/>
  <c r="I15" i="60"/>
  <c r="J15" i="60" s="1"/>
  <c r="I16" i="60"/>
  <c r="J16" i="60" s="1"/>
  <c r="I17" i="60"/>
  <c r="J17" i="60" s="1"/>
  <c r="I18" i="60"/>
  <c r="J18" i="60" s="1"/>
  <c r="I5" i="60"/>
  <c r="J5" i="60" s="1"/>
  <c r="Q5" i="60" l="1"/>
  <c r="V5" i="60" s="1"/>
  <c r="V8" i="60"/>
  <c r="U17" i="60"/>
  <c r="U15" i="60"/>
  <c r="U13" i="60"/>
  <c r="U11" i="60"/>
  <c r="U9" i="60"/>
  <c r="U7" i="60"/>
  <c r="F5" i="60"/>
  <c r="F16" i="60"/>
  <c r="F14" i="60"/>
  <c r="F12" i="60"/>
  <c r="F10" i="60"/>
  <c r="F6" i="60"/>
  <c r="T5" i="60"/>
  <c r="U16" i="60"/>
  <c r="U14" i="60"/>
  <c r="U12" i="60"/>
  <c r="U10" i="60"/>
  <c r="U6" i="60"/>
  <c r="F17" i="60"/>
  <c r="F15" i="60"/>
  <c r="F13" i="60"/>
  <c r="F11" i="60"/>
  <c r="F9" i="60"/>
  <c r="F7" i="60"/>
  <c r="Q17" i="60"/>
  <c r="V17" i="60" s="1"/>
  <c r="Q15" i="60"/>
  <c r="V15" i="60" s="1"/>
  <c r="Q13" i="60"/>
  <c r="V13" i="60" s="1"/>
  <c r="Q11" i="60"/>
  <c r="V11" i="60" s="1"/>
  <c r="Q9" i="60"/>
  <c r="V9" i="60" s="1"/>
  <c r="Q7" i="60"/>
  <c r="V7" i="60" s="1"/>
  <c r="Q16" i="60"/>
  <c r="V16" i="60" s="1"/>
  <c r="Q14" i="60"/>
  <c r="V14" i="60" s="1"/>
  <c r="Q12" i="60"/>
  <c r="V12" i="60" s="1"/>
  <c r="Q10" i="60"/>
  <c r="V10" i="60" s="1"/>
  <c r="Q6" i="60"/>
  <c r="V6" i="60" s="1"/>
  <c r="G12" i="59" l="1"/>
  <c r="H12" i="59" s="1"/>
  <c r="H11" i="59"/>
  <c r="I11" i="59" s="1"/>
  <c r="J11" i="59" s="1"/>
  <c r="H10" i="59"/>
  <c r="I10" i="59" s="1"/>
  <c r="H6" i="59"/>
  <c r="I6" i="59" s="1"/>
  <c r="H5" i="59"/>
  <c r="I5" i="59" s="1"/>
  <c r="E6" i="59" l="1"/>
  <c r="E12" i="59"/>
  <c r="I12" i="59"/>
  <c r="J12" i="59" s="1"/>
  <c r="E5" i="59"/>
  <c r="E10" i="59"/>
  <c r="E11" i="59"/>
  <c r="Q21" i="31" l="1"/>
  <c r="R21" i="31" s="1"/>
  <c r="M21" i="31"/>
  <c r="Q20" i="31"/>
  <c r="R20" i="31" s="1"/>
  <c r="M20" i="31"/>
  <c r="Q27" i="31"/>
  <c r="R27" i="31" s="1"/>
  <c r="M27" i="31"/>
  <c r="Q26" i="31"/>
  <c r="R26" i="31" s="1"/>
  <c r="M26" i="31"/>
  <c r="M18" i="31" l="1"/>
  <c r="M19" i="31"/>
  <c r="M22" i="31"/>
  <c r="M23" i="31"/>
  <c r="M24" i="31"/>
  <c r="M25" i="31"/>
  <c r="M28" i="31"/>
  <c r="M29" i="31"/>
  <c r="Q13" i="31"/>
  <c r="J13" i="31" s="1"/>
  <c r="Q18" i="31"/>
  <c r="J18" i="31" s="1"/>
  <c r="Q19" i="31"/>
  <c r="J19" i="31" s="1"/>
  <c r="Q22" i="31"/>
  <c r="J22" i="31" s="1"/>
  <c r="Q23" i="31"/>
  <c r="J23" i="31" s="1"/>
  <c r="Q24" i="31"/>
  <c r="Q25" i="31"/>
  <c r="Q28" i="31"/>
  <c r="J28" i="31" s="1"/>
  <c r="Q29" i="31"/>
  <c r="J29" i="31" s="1"/>
  <c r="Q12" i="31"/>
  <c r="J12" i="31" s="1"/>
  <c r="R28" i="31" l="1"/>
  <c r="R24" i="31"/>
  <c r="R22" i="31"/>
  <c r="R18" i="31"/>
  <c r="R29" i="31"/>
  <c r="R25" i="31"/>
  <c r="R23" i="31"/>
  <c r="R19" i="31"/>
  <c r="R13" i="31"/>
  <c r="R12" i="31"/>
  <c r="BB9" i="2" l="1"/>
  <c r="BB10" i="2"/>
  <c r="BB8" i="2"/>
  <c r="O7" i="11" l="1"/>
  <c r="N7" i="11"/>
  <c r="M42" i="55" l="1"/>
  <c r="N42" i="55" s="1"/>
  <c r="R42" i="55" s="1"/>
  <c r="S42" i="55" s="1"/>
  <c r="T42" i="55" s="1"/>
  <c r="U42" i="55" s="1"/>
  <c r="X42" i="55"/>
  <c r="AA42" i="55" s="1"/>
  <c r="AD42" i="55"/>
  <c r="AE42" i="55" s="1"/>
  <c r="AF42" i="55" s="1"/>
  <c r="AK42" i="55" s="1"/>
  <c r="AQ42" i="55"/>
  <c r="O42" i="55" l="1"/>
  <c r="P42" i="55" s="1"/>
  <c r="AB42" i="55"/>
  <c r="Z42" i="55"/>
  <c r="AS42" i="55"/>
  <c r="AA7" i="11" l="1"/>
  <c r="AC7" i="11" s="1"/>
  <c r="AA9" i="11"/>
  <c r="AC9" i="11" s="1"/>
  <c r="AD9" i="11" s="1"/>
  <c r="AA10" i="11"/>
  <c r="AC10" i="11" s="1"/>
  <c r="J10" i="11" s="1"/>
  <c r="I10" i="11" s="1"/>
  <c r="AA11" i="11"/>
  <c r="AC11" i="11" s="1"/>
  <c r="AA12" i="11"/>
  <c r="AC12" i="11" s="1"/>
  <c r="AA13" i="11"/>
  <c r="AC13" i="11" s="1"/>
  <c r="J13" i="11" s="1"/>
  <c r="I13" i="11" s="1"/>
  <c r="AA14" i="11"/>
  <c r="AC14" i="11" s="1"/>
  <c r="AA15" i="11"/>
  <c r="AC15" i="11" s="1"/>
  <c r="AA16" i="11"/>
  <c r="AC16" i="11" s="1"/>
  <c r="AD16" i="11" s="1"/>
  <c r="AA17" i="11"/>
  <c r="AC17" i="11" s="1"/>
  <c r="AD17" i="11" s="1"/>
  <c r="AA18" i="11"/>
  <c r="AC18" i="11" s="1"/>
  <c r="AD18" i="11" s="1"/>
  <c r="AA19" i="11"/>
  <c r="AC19" i="11" s="1"/>
  <c r="J19" i="11" s="1"/>
  <c r="I19" i="11" s="1"/>
  <c r="AA6" i="11"/>
  <c r="AC6" i="11" s="1"/>
  <c r="AB7" i="11"/>
  <c r="AB9" i="11"/>
  <c r="AB10" i="11"/>
  <c r="AB11" i="11"/>
  <c r="AB12" i="11"/>
  <c r="AB13" i="11"/>
  <c r="AB14" i="11"/>
  <c r="AB15" i="11"/>
  <c r="AB16" i="11"/>
  <c r="AB17" i="11"/>
  <c r="AB18" i="11"/>
  <c r="AB19" i="11"/>
  <c r="AB6" i="11"/>
  <c r="AF8" i="2"/>
  <c r="AF14" i="2"/>
  <c r="AF17" i="2"/>
  <c r="AF18" i="2"/>
  <c r="AQ50" i="13"/>
  <c r="J50" i="13" s="1"/>
  <c r="AQ51" i="13"/>
  <c r="AP11" i="13"/>
  <c r="AP12" i="13"/>
  <c r="K12" i="13" s="1"/>
  <c r="AP13" i="13"/>
  <c r="AR13" i="13" s="1"/>
  <c r="AT13" i="13" s="1"/>
  <c r="AP14" i="13"/>
  <c r="AP15" i="13"/>
  <c r="AR15" i="13" s="1"/>
  <c r="AT15" i="13" s="1"/>
  <c r="AP16" i="13"/>
  <c r="K16" i="13" s="1"/>
  <c r="AP17" i="13"/>
  <c r="AR17" i="13" s="1"/>
  <c r="AT17" i="13" s="1"/>
  <c r="AP18" i="13"/>
  <c r="K18" i="13" s="1"/>
  <c r="AP19" i="13"/>
  <c r="AR19" i="13" s="1"/>
  <c r="AT19" i="13" s="1"/>
  <c r="AP20" i="13"/>
  <c r="K20" i="13" s="1"/>
  <c r="AP21" i="13"/>
  <c r="AR21" i="13" s="1"/>
  <c r="AT21" i="13" s="1"/>
  <c r="AP22" i="13"/>
  <c r="AS51" i="13" l="1"/>
  <c r="J51" i="13"/>
  <c r="AR11" i="13"/>
  <c r="AT11" i="13" s="1"/>
  <c r="J6" i="11"/>
  <c r="I6" i="11" s="1"/>
  <c r="AD6" i="11"/>
  <c r="J14" i="11"/>
  <c r="I14" i="11" s="1"/>
  <c r="AD14" i="11"/>
  <c r="J12" i="11"/>
  <c r="I12" i="11" s="1"/>
  <c r="AD12" i="11"/>
  <c r="AD10" i="11"/>
  <c r="J7" i="11"/>
  <c r="I7" i="11" s="1"/>
  <c r="AD7" i="11"/>
  <c r="AD19" i="11"/>
  <c r="J15" i="11"/>
  <c r="I15" i="11" s="1"/>
  <c r="AD15" i="11"/>
  <c r="AD13" i="11"/>
  <c r="J11" i="11"/>
  <c r="I11" i="11" s="1"/>
  <c r="AD11" i="11"/>
  <c r="AR22" i="13"/>
  <c r="AT22" i="13" s="1"/>
  <c r="AR20" i="13"/>
  <c r="AT20" i="13" s="1"/>
  <c r="AR18" i="13"/>
  <c r="AT18" i="13" s="1"/>
  <c r="AR16" i="13"/>
  <c r="AT16" i="13" s="1"/>
  <c r="AR14" i="13"/>
  <c r="AT14" i="13" s="1"/>
  <c r="AR12" i="13"/>
  <c r="AT12" i="13" s="1"/>
  <c r="K19" i="13"/>
  <c r="K17" i="13"/>
  <c r="K15" i="13"/>
  <c r="AS49" i="13"/>
  <c r="AS50" i="13"/>
  <c r="AQ6" i="55" l="1"/>
  <c r="AQ7" i="55"/>
  <c r="AQ8" i="55"/>
  <c r="AQ9" i="55"/>
  <c r="AQ10" i="55"/>
  <c r="AQ11" i="55"/>
  <c r="AQ12" i="55"/>
  <c r="AQ13" i="55"/>
  <c r="AQ14" i="55"/>
  <c r="AQ15" i="55"/>
  <c r="AQ16" i="55"/>
  <c r="AQ17" i="55"/>
  <c r="AQ18" i="55"/>
  <c r="AQ19" i="55"/>
  <c r="AQ20" i="55"/>
  <c r="AQ21" i="55"/>
  <c r="AQ22" i="55"/>
  <c r="AQ23" i="55"/>
  <c r="AQ24" i="55"/>
  <c r="AQ25" i="55"/>
  <c r="AQ26" i="55"/>
  <c r="AQ27" i="55"/>
  <c r="AQ28" i="55"/>
  <c r="AQ29" i="55"/>
  <c r="AQ30" i="55"/>
  <c r="AQ31" i="55"/>
  <c r="AQ32" i="55"/>
  <c r="AQ33" i="55"/>
  <c r="AQ34" i="55"/>
  <c r="AQ35" i="55"/>
  <c r="AQ36" i="55"/>
  <c r="AQ37" i="55"/>
  <c r="AQ38" i="55"/>
  <c r="AQ39" i="55"/>
  <c r="AQ40" i="55"/>
  <c r="AQ41" i="55"/>
  <c r="AQ43" i="55"/>
  <c r="AQ44" i="55"/>
  <c r="AQ45" i="55"/>
  <c r="AQ5" i="55"/>
  <c r="AS5" i="55" s="1"/>
  <c r="AS6" i="55"/>
  <c r="AS7" i="55"/>
  <c r="AS8" i="55"/>
  <c r="AS9" i="55"/>
  <c r="AS10" i="55"/>
  <c r="AS11" i="55"/>
  <c r="AS12" i="55"/>
  <c r="AS13" i="55"/>
  <c r="AS14" i="55"/>
  <c r="AS15" i="55"/>
  <c r="AS16" i="55"/>
  <c r="AS17" i="55"/>
  <c r="AS18" i="55"/>
  <c r="AS19" i="55"/>
  <c r="AS20" i="55"/>
  <c r="AS21" i="55"/>
  <c r="AS22" i="55"/>
  <c r="AS23" i="55"/>
  <c r="AS24" i="55"/>
  <c r="AS25" i="55"/>
  <c r="AS26" i="55"/>
  <c r="AS27" i="55"/>
  <c r="AS28" i="55"/>
  <c r="AS29" i="55"/>
  <c r="AS30" i="55"/>
  <c r="AS31" i="55"/>
  <c r="AS32" i="55"/>
  <c r="AS33" i="55"/>
  <c r="AS34" i="55"/>
  <c r="AS35" i="55"/>
  <c r="AS36" i="55"/>
  <c r="AS37" i="55"/>
  <c r="AS38" i="55"/>
  <c r="AS39" i="55"/>
  <c r="AS40" i="55"/>
  <c r="AS41" i="55"/>
  <c r="AS43" i="55"/>
  <c r="AS44" i="55"/>
  <c r="AS45" i="55"/>
  <c r="BD24" i="56"/>
  <c r="BD25" i="56"/>
  <c r="BD23" i="56"/>
  <c r="BD22" i="56"/>
  <c r="BD21" i="56"/>
  <c r="BE17" i="56"/>
  <c r="BE18" i="56"/>
  <c r="BE19" i="56"/>
  <c r="BE20" i="56"/>
  <c r="BE16" i="56"/>
  <c r="BH8" i="56"/>
  <c r="BH9" i="56"/>
  <c r="BH10" i="56"/>
  <c r="BH11" i="56"/>
  <c r="BH12" i="56"/>
  <c r="BH13" i="56"/>
  <c r="BH14" i="56"/>
  <c r="BH15" i="56"/>
  <c r="BH16" i="56"/>
  <c r="BH17" i="56"/>
  <c r="BH18" i="56"/>
  <c r="BH19" i="56"/>
  <c r="BH20" i="56"/>
  <c r="BH21" i="56"/>
  <c r="BH22" i="56"/>
  <c r="BG8" i="56"/>
  <c r="BG9" i="56"/>
  <c r="BG10" i="56"/>
  <c r="BG11" i="56"/>
  <c r="BG12" i="56"/>
  <c r="BG13" i="56"/>
  <c r="BG14" i="56"/>
  <c r="BG15" i="56"/>
  <c r="BG16" i="56"/>
  <c r="BG17" i="56"/>
  <c r="BG18" i="56"/>
  <c r="BG19" i="56"/>
  <c r="BG20" i="56"/>
  <c r="BG21" i="56"/>
  <c r="BG22" i="56"/>
  <c r="BF8" i="56"/>
  <c r="BF9" i="56"/>
  <c r="BF10" i="56"/>
  <c r="BF11" i="56"/>
  <c r="BF12" i="56"/>
  <c r="BF13" i="56"/>
  <c r="BF14" i="56"/>
  <c r="BF15" i="56"/>
  <c r="BE8" i="56"/>
  <c r="BE9" i="56"/>
  <c r="BE10" i="56"/>
  <c r="BE11" i="56"/>
  <c r="BE12" i="56"/>
  <c r="BE13" i="56"/>
  <c r="BE14" i="56"/>
  <c r="BE15" i="56"/>
  <c r="BD8" i="56"/>
  <c r="BD9" i="56"/>
  <c r="BD10" i="56"/>
  <c r="BD11" i="56"/>
  <c r="BD12" i="56"/>
  <c r="BD13" i="56"/>
  <c r="BD14" i="56"/>
  <c r="BD15" i="56"/>
  <c r="BD16" i="56"/>
  <c r="BD17" i="56"/>
  <c r="BD18" i="56"/>
  <c r="BD19" i="56"/>
  <c r="BE7" i="56"/>
  <c r="BF7" i="56"/>
  <c r="BG7" i="56"/>
  <c r="BH7" i="56"/>
  <c r="BD7" i="56"/>
  <c r="AY24" i="56"/>
  <c r="BI24" i="56" s="1"/>
  <c r="AY25" i="56"/>
  <c r="BI25" i="56" s="1"/>
  <c r="AY23" i="56"/>
  <c r="BI23" i="56" s="1"/>
  <c r="AY22" i="56"/>
  <c r="BI22" i="56" s="1"/>
  <c r="AY21" i="56"/>
  <c r="BI21" i="56" s="1"/>
  <c r="AZ17" i="56"/>
  <c r="BJ17" i="56" s="1"/>
  <c r="AZ18" i="56"/>
  <c r="BJ18" i="56" s="1"/>
  <c r="AZ19" i="56"/>
  <c r="BJ19" i="56" s="1"/>
  <c r="AZ20" i="56"/>
  <c r="BJ20" i="56" s="1"/>
  <c r="AZ16" i="56"/>
  <c r="BJ16" i="56" s="1"/>
  <c r="BC8" i="56"/>
  <c r="BM8" i="56" s="1"/>
  <c r="BC9" i="56"/>
  <c r="BM9" i="56" s="1"/>
  <c r="BC10" i="56"/>
  <c r="BM10" i="56" s="1"/>
  <c r="BC11" i="56"/>
  <c r="BM11" i="56" s="1"/>
  <c r="BC12" i="56"/>
  <c r="BM12" i="56" s="1"/>
  <c r="BC13" i="56"/>
  <c r="BM13" i="56" s="1"/>
  <c r="BC14" i="56"/>
  <c r="BM14" i="56" s="1"/>
  <c r="BC15" i="56"/>
  <c r="BM15" i="56" s="1"/>
  <c r="BC16" i="56"/>
  <c r="BM16" i="56" s="1"/>
  <c r="BC17" i="56"/>
  <c r="BM17" i="56" s="1"/>
  <c r="BC18" i="56"/>
  <c r="BM18" i="56" s="1"/>
  <c r="BC19" i="56"/>
  <c r="BM19" i="56" s="1"/>
  <c r="BC20" i="56"/>
  <c r="BM20" i="56" s="1"/>
  <c r="BC21" i="56"/>
  <c r="BM21" i="56" s="1"/>
  <c r="BC22" i="56"/>
  <c r="BM22" i="56" s="1"/>
  <c r="BB8" i="56"/>
  <c r="BL8" i="56" s="1"/>
  <c r="BB9" i="56"/>
  <c r="BL9" i="56" s="1"/>
  <c r="BB10" i="56"/>
  <c r="BL10" i="56" s="1"/>
  <c r="BB11" i="56"/>
  <c r="BL11" i="56" s="1"/>
  <c r="BB12" i="56"/>
  <c r="BL12" i="56" s="1"/>
  <c r="BB13" i="56"/>
  <c r="BL13" i="56" s="1"/>
  <c r="BB14" i="56"/>
  <c r="BL14" i="56" s="1"/>
  <c r="BB15" i="56"/>
  <c r="BL15" i="56" s="1"/>
  <c r="BB16" i="56"/>
  <c r="BL16" i="56" s="1"/>
  <c r="BB17" i="56"/>
  <c r="BL17" i="56" s="1"/>
  <c r="BB18" i="56"/>
  <c r="BL18" i="56" s="1"/>
  <c r="BB19" i="56"/>
  <c r="BL19" i="56" s="1"/>
  <c r="BB20" i="56"/>
  <c r="BL20" i="56" s="1"/>
  <c r="BB21" i="56"/>
  <c r="BL21" i="56" s="1"/>
  <c r="BB22" i="56"/>
  <c r="BL22" i="56" s="1"/>
  <c r="BA8" i="56"/>
  <c r="BK8" i="56" s="1"/>
  <c r="BA9" i="56"/>
  <c r="BK9" i="56" s="1"/>
  <c r="BA10" i="56"/>
  <c r="BK10" i="56" s="1"/>
  <c r="BA11" i="56"/>
  <c r="BK11" i="56" s="1"/>
  <c r="BA12" i="56"/>
  <c r="BK12" i="56" s="1"/>
  <c r="BA13" i="56"/>
  <c r="BK13" i="56" s="1"/>
  <c r="BA14" i="56"/>
  <c r="BK14" i="56" s="1"/>
  <c r="BA15" i="56"/>
  <c r="BK15" i="56" s="1"/>
  <c r="AZ8" i="56"/>
  <c r="BJ8" i="56" s="1"/>
  <c r="AZ9" i="56"/>
  <c r="BJ9" i="56" s="1"/>
  <c r="AZ10" i="56"/>
  <c r="BJ10" i="56" s="1"/>
  <c r="AZ11" i="56"/>
  <c r="BJ11" i="56" s="1"/>
  <c r="AZ12" i="56"/>
  <c r="BJ12" i="56" s="1"/>
  <c r="AZ13" i="56"/>
  <c r="BJ13" i="56" s="1"/>
  <c r="AZ14" i="56"/>
  <c r="BJ14" i="56" s="1"/>
  <c r="AZ15" i="56"/>
  <c r="BJ15" i="56" s="1"/>
  <c r="AY8" i="56"/>
  <c r="BI8" i="56" s="1"/>
  <c r="AY9" i="56"/>
  <c r="BI9" i="56" s="1"/>
  <c r="AY10" i="56"/>
  <c r="BI10" i="56" s="1"/>
  <c r="AY11" i="56"/>
  <c r="BI11" i="56" s="1"/>
  <c r="AY12" i="56"/>
  <c r="BI12" i="56" s="1"/>
  <c r="AY13" i="56"/>
  <c r="BI13" i="56" s="1"/>
  <c r="AY14" i="56"/>
  <c r="BI14" i="56" s="1"/>
  <c r="AY15" i="56"/>
  <c r="BI15" i="56" s="1"/>
  <c r="AY16" i="56"/>
  <c r="BI16" i="56" s="1"/>
  <c r="AY17" i="56"/>
  <c r="BI17" i="56" s="1"/>
  <c r="AY18" i="56"/>
  <c r="BI18" i="56" s="1"/>
  <c r="AY19" i="56"/>
  <c r="BI19" i="56" s="1"/>
  <c r="AZ7" i="56"/>
  <c r="BJ7" i="56" s="1"/>
  <c r="BA7" i="56"/>
  <c r="BK7" i="56" s="1"/>
  <c r="BB7" i="56"/>
  <c r="BL7" i="56" s="1"/>
  <c r="BC7" i="56"/>
  <c r="BM7" i="56" s="1"/>
  <c r="AY7" i="56"/>
  <c r="BI7" i="56" s="1"/>
  <c r="AS24" i="56" l="1"/>
  <c r="AS25" i="56"/>
  <c r="AS23" i="56"/>
  <c r="AS22" i="56"/>
  <c r="AS21" i="56"/>
  <c r="AT17" i="56"/>
  <c r="AT18" i="56"/>
  <c r="AT19" i="56"/>
  <c r="AT20" i="56"/>
  <c r="AT16" i="56"/>
  <c r="AW8" i="56"/>
  <c r="AW9" i="56"/>
  <c r="AW10" i="56"/>
  <c r="AW11" i="56"/>
  <c r="AW12" i="56"/>
  <c r="AW13" i="56"/>
  <c r="AW14" i="56"/>
  <c r="AW15" i="56"/>
  <c r="AW16" i="56"/>
  <c r="AW17" i="56"/>
  <c r="AW18" i="56"/>
  <c r="AW19" i="56"/>
  <c r="AW20" i="56"/>
  <c r="AW21" i="56"/>
  <c r="AW22" i="56"/>
  <c r="AW7" i="56"/>
  <c r="AV8" i="56"/>
  <c r="AV9" i="56"/>
  <c r="AV10" i="56"/>
  <c r="AV11" i="56"/>
  <c r="AV12" i="56"/>
  <c r="AV15" i="56"/>
  <c r="AV16" i="56"/>
  <c r="AV17" i="56"/>
  <c r="AV18" i="56"/>
  <c r="AV19" i="56"/>
  <c r="AV20" i="56"/>
  <c r="AV21" i="56"/>
  <c r="AV22" i="56"/>
  <c r="AV7" i="56"/>
  <c r="AU8" i="56"/>
  <c r="AU9" i="56"/>
  <c r="AU10" i="56"/>
  <c r="AU11" i="56"/>
  <c r="AU12" i="56"/>
  <c r="AU13" i="56"/>
  <c r="AU14" i="56"/>
  <c r="AU15" i="56"/>
  <c r="AU7" i="56"/>
  <c r="AT8" i="56"/>
  <c r="AT9" i="56"/>
  <c r="AT10" i="56"/>
  <c r="AT11" i="56"/>
  <c r="AT12" i="56"/>
  <c r="AT13" i="56"/>
  <c r="AT14" i="56"/>
  <c r="AT15" i="56"/>
  <c r="AT7" i="56"/>
  <c r="AS8" i="56"/>
  <c r="AS9" i="56"/>
  <c r="AS10" i="56"/>
  <c r="AS11" i="56"/>
  <c r="AS12" i="56"/>
  <c r="AS13" i="56"/>
  <c r="AS14" i="56"/>
  <c r="AS15" i="56"/>
  <c r="AS16" i="56"/>
  <c r="AS17" i="56"/>
  <c r="AS18" i="56"/>
  <c r="AS19" i="56"/>
  <c r="AS7" i="56"/>
  <c r="AN24" i="56" l="1"/>
  <c r="AN25" i="56"/>
  <c r="AN22" i="56"/>
  <c r="AO17" i="56"/>
  <c r="AO18" i="56"/>
  <c r="AO19" i="56"/>
  <c r="AO20" i="56"/>
  <c r="AR8" i="56"/>
  <c r="AR9" i="56"/>
  <c r="AR10" i="56"/>
  <c r="AR11" i="56"/>
  <c r="AR12" i="56"/>
  <c r="AR13" i="56"/>
  <c r="AR14" i="56"/>
  <c r="AR15" i="56"/>
  <c r="AR16" i="56"/>
  <c r="AR17" i="56"/>
  <c r="AR18" i="56"/>
  <c r="AR19" i="56"/>
  <c r="AR20" i="56"/>
  <c r="AR21" i="56"/>
  <c r="AR22" i="56"/>
  <c r="AQ8" i="56"/>
  <c r="AQ9" i="56"/>
  <c r="AQ10" i="56"/>
  <c r="AQ11" i="56"/>
  <c r="AQ12" i="56"/>
  <c r="AQ15" i="56"/>
  <c r="AQ16" i="56"/>
  <c r="AQ17" i="56"/>
  <c r="AQ18" i="56"/>
  <c r="AQ19" i="56"/>
  <c r="AQ20" i="56"/>
  <c r="AQ21" i="56"/>
  <c r="AQ22" i="56"/>
  <c r="AP8" i="56"/>
  <c r="AP9" i="56"/>
  <c r="AP10" i="56"/>
  <c r="AP11" i="56"/>
  <c r="AP12" i="56"/>
  <c r="AP13" i="56"/>
  <c r="AP14" i="56"/>
  <c r="AP15" i="56"/>
  <c r="AO8" i="56"/>
  <c r="AO9" i="56"/>
  <c r="AO10" i="56"/>
  <c r="AO11" i="56"/>
  <c r="AO12" i="56"/>
  <c r="AO13" i="56"/>
  <c r="AO14" i="56"/>
  <c r="AO15" i="56"/>
  <c r="AN8" i="56"/>
  <c r="AN9" i="56"/>
  <c r="AN10" i="56"/>
  <c r="AN11" i="56"/>
  <c r="AN12" i="56"/>
  <c r="AN13" i="56"/>
  <c r="AN14" i="56"/>
  <c r="AN15" i="56"/>
  <c r="AN16" i="56"/>
  <c r="AN17" i="56"/>
  <c r="AN18" i="56"/>
  <c r="AN19" i="56"/>
  <c r="AN23" i="56"/>
  <c r="AN21" i="56"/>
  <c r="AO16" i="56"/>
  <c r="AR7" i="56"/>
  <c r="AQ7" i="56"/>
  <c r="AP7" i="56"/>
  <c r="AO7" i="56"/>
  <c r="AN7" i="56"/>
  <c r="W20" i="56" l="1"/>
  <c r="S7" i="56"/>
  <c r="X7" i="56" s="1"/>
  <c r="T7" i="56"/>
  <c r="Y7" i="56" s="1"/>
  <c r="U7" i="56"/>
  <c r="Z7" i="56" s="1"/>
  <c r="V7" i="56"/>
  <c r="AA7" i="56" s="1"/>
  <c r="R8" i="56"/>
  <c r="W8" i="56" s="1"/>
  <c r="S8" i="56"/>
  <c r="X8" i="56" s="1"/>
  <c r="T8" i="56"/>
  <c r="Y8" i="56" s="1"/>
  <c r="U8" i="56"/>
  <c r="Z8" i="56" s="1"/>
  <c r="V8" i="56"/>
  <c r="AA8" i="56" s="1"/>
  <c r="R9" i="56"/>
  <c r="W9" i="56" s="1"/>
  <c r="S9" i="56"/>
  <c r="X9" i="56" s="1"/>
  <c r="T9" i="56"/>
  <c r="Y9" i="56" s="1"/>
  <c r="U9" i="56"/>
  <c r="Z9" i="56" s="1"/>
  <c r="V9" i="56"/>
  <c r="AA9" i="56" s="1"/>
  <c r="R10" i="56"/>
  <c r="W10" i="56" s="1"/>
  <c r="S10" i="56"/>
  <c r="X10" i="56" s="1"/>
  <c r="T10" i="56"/>
  <c r="Y10" i="56" s="1"/>
  <c r="U10" i="56"/>
  <c r="Z10" i="56" s="1"/>
  <c r="V10" i="56"/>
  <c r="AA10" i="56" s="1"/>
  <c r="R11" i="56"/>
  <c r="W11" i="56" s="1"/>
  <c r="S11" i="56"/>
  <c r="X11" i="56" s="1"/>
  <c r="T11" i="56"/>
  <c r="Y11" i="56" s="1"/>
  <c r="U11" i="56"/>
  <c r="Z11" i="56" s="1"/>
  <c r="V11" i="56"/>
  <c r="AA11" i="56" s="1"/>
  <c r="R7" i="56"/>
  <c r="W7" i="56" s="1"/>
  <c r="R25" i="56"/>
  <c r="W25" i="56" s="1"/>
  <c r="R24" i="56"/>
  <c r="W24" i="56" s="1"/>
  <c r="R23" i="56"/>
  <c r="W23" i="56" s="1"/>
  <c r="U22" i="56"/>
  <c r="Z22" i="56" s="1"/>
  <c r="V22" i="56"/>
  <c r="AA22" i="56" s="1"/>
  <c r="R22" i="56"/>
  <c r="W22" i="56" s="1"/>
  <c r="U21" i="56"/>
  <c r="Z21" i="56" s="1"/>
  <c r="V21" i="56"/>
  <c r="AA21" i="56" s="1"/>
  <c r="R21" i="56"/>
  <c r="W21" i="56" s="1"/>
  <c r="U20" i="56"/>
  <c r="Z20" i="56" s="1"/>
  <c r="V20" i="56"/>
  <c r="AA20" i="56" s="1"/>
  <c r="S20" i="56"/>
  <c r="X20" i="56" s="1"/>
  <c r="V19" i="56"/>
  <c r="AA19" i="56" s="1"/>
  <c r="U19" i="56"/>
  <c r="Z19" i="56" s="1"/>
  <c r="S19" i="56"/>
  <c r="X19" i="56" s="1"/>
  <c r="R19" i="56"/>
  <c r="W19" i="56" s="1"/>
  <c r="V18" i="56"/>
  <c r="AA18" i="56" s="1"/>
  <c r="U18" i="56"/>
  <c r="Z18" i="56" s="1"/>
  <c r="S18" i="56"/>
  <c r="X18" i="56" s="1"/>
  <c r="R18" i="56"/>
  <c r="W18" i="56" s="1"/>
  <c r="V17" i="56"/>
  <c r="AA17" i="56" s="1"/>
  <c r="U17" i="56"/>
  <c r="Z17" i="56" s="1"/>
  <c r="S17" i="56"/>
  <c r="X17" i="56" s="1"/>
  <c r="R17" i="56"/>
  <c r="W17" i="56" s="1"/>
  <c r="V16" i="56"/>
  <c r="AA16" i="56" s="1"/>
  <c r="U16" i="56"/>
  <c r="Z16" i="56" s="1"/>
  <c r="S16" i="56"/>
  <c r="X16" i="56" s="1"/>
  <c r="R16" i="56"/>
  <c r="W16" i="56" s="1"/>
  <c r="U15" i="56"/>
  <c r="Z15" i="56" s="1"/>
  <c r="S15" i="56"/>
  <c r="X15" i="56" s="1"/>
  <c r="V15" i="56"/>
  <c r="AA15" i="56" s="1"/>
  <c r="T15" i="56"/>
  <c r="Y15" i="56" s="1"/>
  <c r="R15" i="56"/>
  <c r="W15" i="56" s="1"/>
  <c r="U14" i="56"/>
  <c r="Z14" i="56" s="1"/>
  <c r="S14" i="56"/>
  <c r="X14" i="56" s="1"/>
  <c r="V14" i="56"/>
  <c r="AA14" i="56" s="1"/>
  <c r="T14" i="56"/>
  <c r="Y14" i="56" s="1"/>
  <c r="R14" i="56"/>
  <c r="W14" i="56" s="1"/>
  <c r="V13" i="56"/>
  <c r="AA13" i="56" s="1"/>
  <c r="T13" i="56"/>
  <c r="Y13" i="56" s="1"/>
  <c r="R13" i="56"/>
  <c r="W13" i="56" s="1"/>
  <c r="U13" i="56"/>
  <c r="Z13" i="56" s="1"/>
  <c r="S13" i="56"/>
  <c r="X13" i="56" s="1"/>
  <c r="U12" i="56"/>
  <c r="Z12" i="56" s="1"/>
  <c r="S12" i="56"/>
  <c r="X12" i="56" s="1"/>
  <c r="V12" i="56"/>
  <c r="AA12" i="56" s="1"/>
  <c r="T12" i="56"/>
  <c r="Y12" i="56" s="1"/>
  <c r="R12" i="56"/>
  <c r="W12" i="56" s="1"/>
  <c r="AE45" i="55" l="1"/>
  <c r="AF45" i="55" s="1"/>
  <c r="AK45" i="55" s="1"/>
  <c r="X45" i="55"/>
  <c r="AA45" i="55" s="1"/>
  <c r="S45" i="55"/>
  <c r="T45" i="55" s="1"/>
  <c r="U45" i="55" s="1"/>
  <c r="M45" i="55"/>
  <c r="O45" i="55" s="1"/>
  <c r="P45" i="55" s="1"/>
  <c r="AE44" i="55"/>
  <c r="AF44" i="55" s="1"/>
  <c r="AK44" i="55" s="1"/>
  <c r="X44" i="55"/>
  <c r="AA44" i="55" s="1"/>
  <c r="S44" i="55"/>
  <c r="T44" i="55" s="1"/>
  <c r="U44" i="55" s="1"/>
  <c r="M44" i="55"/>
  <c r="O44" i="55" s="1"/>
  <c r="P44" i="55" s="1"/>
  <c r="AD43" i="55"/>
  <c r="AE43" i="55" s="1"/>
  <c r="AF43" i="55" s="1"/>
  <c r="AK43" i="55" s="1"/>
  <c r="X43" i="55"/>
  <c r="AA43" i="55" s="1"/>
  <c r="S43" i="55"/>
  <c r="T43" i="55" s="1"/>
  <c r="U43" i="55" s="1"/>
  <c r="M43" i="55"/>
  <c r="O43" i="55" s="1"/>
  <c r="P43" i="55" s="1"/>
  <c r="AD41" i="55"/>
  <c r="AE41" i="55" s="1"/>
  <c r="AF41" i="55" s="1"/>
  <c r="AK41" i="55" s="1"/>
  <c r="X41" i="55"/>
  <c r="AA41" i="55" s="1"/>
  <c r="M41" i="55"/>
  <c r="O41" i="55" s="1"/>
  <c r="P41" i="55" s="1"/>
  <c r="AD40" i="55"/>
  <c r="X40" i="55"/>
  <c r="AA40" i="55" s="1"/>
  <c r="S40" i="55"/>
  <c r="T40" i="55" s="1"/>
  <c r="U40" i="55" s="1"/>
  <c r="M40" i="55"/>
  <c r="O40" i="55" s="1"/>
  <c r="P40" i="55" s="1"/>
  <c r="AD39" i="55"/>
  <c r="X39" i="55"/>
  <c r="AA39" i="55" s="1"/>
  <c r="S39" i="55"/>
  <c r="T39" i="55" s="1"/>
  <c r="U39" i="55" s="1"/>
  <c r="M39" i="55"/>
  <c r="O39" i="55" s="1"/>
  <c r="P39" i="55" s="1"/>
  <c r="AD38" i="55"/>
  <c r="X38" i="55"/>
  <c r="AA38" i="55" s="1"/>
  <c r="U38" i="55"/>
  <c r="S38" i="55"/>
  <c r="M38" i="55"/>
  <c r="O38" i="55" s="1"/>
  <c r="P38" i="55" s="1"/>
  <c r="AD37" i="55"/>
  <c r="AE37" i="55" s="1"/>
  <c r="AF37" i="55" s="1"/>
  <c r="AK37" i="55" s="1"/>
  <c r="X37" i="55"/>
  <c r="AA37" i="55" s="1"/>
  <c r="M37" i="55"/>
  <c r="O37" i="55" s="1"/>
  <c r="P37" i="55" s="1"/>
  <c r="AD36" i="55"/>
  <c r="X36" i="55"/>
  <c r="AA36" i="55" s="1"/>
  <c r="M36" i="55"/>
  <c r="O36" i="55" s="1"/>
  <c r="P36" i="55" s="1"/>
  <c r="AD35" i="55"/>
  <c r="AE35" i="55" s="1"/>
  <c r="AF35" i="55" s="1"/>
  <c r="AK35" i="55" s="1"/>
  <c r="X35" i="55"/>
  <c r="AA35" i="55" s="1"/>
  <c r="M35" i="55"/>
  <c r="O35" i="55" s="1"/>
  <c r="P35" i="55" s="1"/>
  <c r="AD34" i="55"/>
  <c r="X34" i="55"/>
  <c r="AA34" i="55" s="1"/>
  <c r="M34" i="55"/>
  <c r="O34" i="55" s="1"/>
  <c r="P34" i="55" s="1"/>
  <c r="AD33" i="55"/>
  <c r="AE33" i="55" s="1"/>
  <c r="AF33" i="55" s="1"/>
  <c r="AK33" i="55" s="1"/>
  <c r="X33" i="55"/>
  <c r="M33" i="55"/>
  <c r="N33" i="55" s="1"/>
  <c r="R33" i="55" s="1"/>
  <c r="AE32" i="55"/>
  <c r="AF32" i="55" s="1"/>
  <c r="AK32" i="55" s="1"/>
  <c r="X32" i="55"/>
  <c r="S32" i="55"/>
  <c r="T32" i="55" s="1"/>
  <c r="U32" i="55" s="1"/>
  <c r="M32" i="55"/>
  <c r="O32" i="55" s="1"/>
  <c r="P32" i="55" s="1"/>
  <c r="AD31" i="55"/>
  <c r="AE31" i="55" s="1"/>
  <c r="AF31" i="55" s="1"/>
  <c r="AK31" i="55" s="1"/>
  <c r="X31" i="55"/>
  <c r="AB31" i="55" s="1"/>
  <c r="S31" i="55"/>
  <c r="T31" i="55" s="1"/>
  <c r="U31" i="55" s="1"/>
  <c r="M31" i="55"/>
  <c r="O31" i="55" s="1"/>
  <c r="P31" i="55" s="1"/>
  <c r="AD30" i="55"/>
  <c r="AE30" i="55" s="1"/>
  <c r="AF30" i="55" s="1"/>
  <c r="AK30" i="55" s="1"/>
  <c r="X30" i="55"/>
  <c r="AB30" i="55" s="1"/>
  <c r="M30" i="55"/>
  <c r="N30" i="55" s="1"/>
  <c r="R30" i="55" s="1"/>
  <c r="AD29" i="55"/>
  <c r="X29" i="55"/>
  <c r="AA29" i="55" s="1"/>
  <c r="M29" i="55"/>
  <c r="O29" i="55" s="1"/>
  <c r="P29" i="55" s="1"/>
  <c r="AD28" i="55"/>
  <c r="AE28" i="55" s="1"/>
  <c r="AF28" i="55" s="1"/>
  <c r="AK28" i="55" s="1"/>
  <c r="X28" i="55"/>
  <c r="AB28" i="55" s="1"/>
  <c r="M28" i="55"/>
  <c r="N28" i="55" s="1"/>
  <c r="R28" i="55" s="1"/>
  <c r="AD27" i="55"/>
  <c r="X27" i="55"/>
  <c r="AA27" i="55" s="1"/>
  <c r="M27" i="55"/>
  <c r="O27" i="55" s="1"/>
  <c r="P27" i="55" s="1"/>
  <c r="AD25" i="55"/>
  <c r="AE25" i="55" s="1"/>
  <c r="AF25" i="55" s="1"/>
  <c r="AK25" i="55" s="1"/>
  <c r="X25" i="55"/>
  <c r="AB25" i="55" s="1"/>
  <c r="M25" i="55"/>
  <c r="N25" i="55" s="1"/>
  <c r="R25" i="55" s="1"/>
  <c r="AD24" i="55"/>
  <c r="X24" i="55"/>
  <c r="AA24" i="55" s="1"/>
  <c r="M24" i="55"/>
  <c r="O24" i="55" s="1"/>
  <c r="P24" i="55" s="1"/>
  <c r="AD23" i="55"/>
  <c r="AE23" i="55" s="1"/>
  <c r="AF23" i="55" s="1"/>
  <c r="AK23" i="55" s="1"/>
  <c r="X23" i="55"/>
  <c r="AB23" i="55" s="1"/>
  <c r="M23" i="55"/>
  <c r="N23" i="55" s="1"/>
  <c r="R23" i="55" s="1"/>
  <c r="AD22" i="55"/>
  <c r="X22" i="55"/>
  <c r="AA22" i="55" s="1"/>
  <c r="M22" i="55"/>
  <c r="O22" i="55" s="1"/>
  <c r="P22" i="55" s="1"/>
  <c r="AD21" i="55"/>
  <c r="AE21" i="55" s="1"/>
  <c r="AF21" i="55" s="1"/>
  <c r="AK21" i="55" s="1"/>
  <c r="X21" i="55"/>
  <c r="M21" i="55"/>
  <c r="N21" i="55" s="1"/>
  <c r="R21" i="55" s="1"/>
  <c r="AD20" i="55"/>
  <c r="X20" i="55"/>
  <c r="AA20" i="55" s="1"/>
  <c r="M20" i="55"/>
  <c r="N20" i="55" s="1"/>
  <c r="R20" i="55" s="1"/>
  <c r="AD19" i="55"/>
  <c r="X19" i="55"/>
  <c r="AA19" i="55" s="1"/>
  <c r="M19" i="55"/>
  <c r="O19" i="55" s="1"/>
  <c r="P19" i="55" s="1"/>
  <c r="AD18" i="55"/>
  <c r="AE18" i="55" s="1"/>
  <c r="AF18" i="55" s="1"/>
  <c r="AK18" i="55" s="1"/>
  <c r="X18" i="55"/>
  <c r="AB18" i="55" s="1"/>
  <c r="M18" i="55"/>
  <c r="N18" i="55" s="1"/>
  <c r="R18" i="55" s="1"/>
  <c r="AD17" i="55"/>
  <c r="X17" i="55"/>
  <c r="AA17" i="55" s="1"/>
  <c r="M17" i="55"/>
  <c r="O17" i="55" s="1"/>
  <c r="P17" i="55" s="1"/>
  <c r="AD16" i="55"/>
  <c r="AE16" i="55" s="1"/>
  <c r="AF16" i="55" s="1"/>
  <c r="AK16" i="55" s="1"/>
  <c r="X16" i="55"/>
  <c r="AB16" i="55" s="1"/>
  <c r="M16" i="55"/>
  <c r="N16" i="55" s="1"/>
  <c r="R16" i="55" s="1"/>
  <c r="AD15" i="55"/>
  <c r="X15" i="55"/>
  <c r="AA15" i="55" s="1"/>
  <c r="M15" i="55"/>
  <c r="O15" i="55" s="1"/>
  <c r="P15" i="55" s="1"/>
  <c r="AD14" i="55"/>
  <c r="AE14" i="55" s="1"/>
  <c r="AF14" i="55" s="1"/>
  <c r="AK14" i="55" s="1"/>
  <c r="X14" i="55"/>
  <c r="AB14" i="55" s="1"/>
  <c r="M14" i="55"/>
  <c r="N14" i="55" s="1"/>
  <c r="R14" i="55" s="1"/>
  <c r="AD13" i="55"/>
  <c r="X13" i="55"/>
  <c r="AA13" i="55" s="1"/>
  <c r="S13" i="55"/>
  <c r="T13" i="55" s="1"/>
  <c r="U13" i="55" s="1"/>
  <c r="M13" i="55"/>
  <c r="N13" i="55" s="1"/>
  <c r="AD12" i="55"/>
  <c r="AE12" i="55" s="1"/>
  <c r="AF12" i="55" s="1"/>
  <c r="AK12" i="55" s="1"/>
  <c r="X12" i="55"/>
  <c r="AA12" i="55" s="1"/>
  <c r="U12" i="55"/>
  <c r="M12" i="55"/>
  <c r="N12" i="55" s="1"/>
  <c r="AD11" i="55"/>
  <c r="X11" i="55"/>
  <c r="AA11" i="55" s="1"/>
  <c r="M11" i="55"/>
  <c r="O11" i="55" s="1"/>
  <c r="P11" i="55" s="1"/>
  <c r="AD10" i="55"/>
  <c r="AE10" i="55" s="1"/>
  <c r="AF10" i="55" s="1"/>
  <c r="AK10" i="55" s="1"/>
  <c r="X10" i="55"/>
  <c r="AB10" i="55" s="1"/>
  <c r="M10" i="55"/>
  <c r="N10" i="55" s="1"/>
  <c r="R10" i="55" s="1"/>
  <c r="AE9" i="55"/>
  <c r="AF9" i="55" s="1"/>
  <c r="AK9" i="55" s="1"/>
  <c r="X9" i="55"/>
  <c r="AB9" i="55" s="1"/>
  <c r="S9" i="55"/>
  <c r="T9" i="55" s="1"/>
  <c r="U9" i="55" s="1"/>
  <c r="M9" i="55"/>
  <c r="O9" i="55" s="1"/>
  <c r="P9" i="55" s="1"/>
  <c r="AD8" i="55"/>
  <c r="AE8" i="55" s="1"/>
  <c r="AF8" i="55" s="1"/>
  <c r="AK8" i="55" s="1"/>
  <c r="X8" i="55"/>
  <c r="AB8" i="55" s="1"/>
  <c r="S8" i="55"/>
  <c r="T8" i="55" s="1"/>
  <c r="U8" i="55" s="1"/>
  <c r="M8" i="55"/>
  <c r="O8" i="55" s="1"/>
  <c r="P8" i="55" s="1"/>
  <c r="AD7" i="55"/>
  <c r="AE7" i="55" s="1"/>
  <c r="AF7" i="55" s="1"/>
  <c r="AK7" i="55" s="1"/>
  <c r="X7" i="55"/>
  <c r="AB7" i="55" s="1"/>
  <c r="M7" i="55"/>
  <c r="N7" i="55" s="1"/>
  <c r="R7" i="55" s="1"/>
  <c r="AD6" i="55"/>
  <c r="AE6" i="55" s="1"/>
  <c r="AF6" i="55" s="1"/>
  <c r="AK6" i="55" s="1"/>
  <c r="X6" i="55"/>
  <c r="AA6" i="55" s="1"/>
  <c r="M6" i="55"/>
  <c r="O6" i="55" s="1"/>
  <c r="P6" i="55" s="1"/>
  <c r="AD5" i="55"/>
  <c r="AE5" i="55" s="1"/>
  <c r="AF5" i="55" s="1"/>
  <c r="AK5" i="55" s="1"/>
  <c r="X5" i="55"/>
  <c r="AB5" i="55" s="1"/>
  <c r="M5" i="55"/>
  <c r="N5" i="55" s="1"/>
  <c r="R5" i="55" s="1"/>
  <c r="N6" i="55" l="1"/>
  <c r="R6" i="55" s="1"/>
  <c r="Z6" i="55"/>
  <c r="N8" i="55"/>
  <c r="N9" i="55"/>
  <c r="AE15" i="55"/>
  <c r="AF15" i="55" s="1"/>
  <c r="AK15" i="55" s="1"/>
  <c r="AE19" i="55"/>
  <c r="AF19" i="55" s="1"/>
  <c r="AK19" i="55" s="1"/>
  <c r="AE20" i="55"/>
  <c r="AF20" i="55" s="1"/>
  <c r="AK20" i="55" s="1"/>
  <c r="AE24" i="55"/>
  <c r="AF24" i="55" s="1"/>
  <c r="AK24" i="55" s="1"/>
  <c r="AE29" i="55"/>
  <c r="AF29" i="55" s="1"/>
  <c r="AK29" i="55" s="1"/>
  <c r="N34" i="55"/>
  <c r="R34" i="55" s="1"/>
  <c r="S34" i="55" s="1"/>
  <c r="T34" i="55" s="1"/>
  <c r="U34" i="55" s="1"/>
  <c r="Z34" i="55"/>
  <c r="N36" i="55"/>
  <c r="R36" i="55" s="1"/>
  <c r="Z36" i="55"/>
  <c r="N38" i="55"/>
  <c r="Z38" i="55"/>
  <c r="AE39" i="55"/>
  <c r="AF39" i="55" s="1"/>
  <c r="AK39" i="55" s="1"/>
  <c r="Z40" i="55"/>
  <c r="N43" i="55"/>
  <c r="N45" i="55"/>
  <c r="AE11" i="55"/>
  <c r="AF11" i="55" s="1"/>
  <c r="AK11" i="55" s="1"/>
  <c r="Z12" i="55"/>
  <c r="AE13" i="55"/>
  <c r="AF13" i="55" s="1"/>
  <c r="AK13" i="55" s="1"/>
  <c r="AE17" i="55"/>
  <c r="AF17" i="55" s="1"/>
  <c r="AK17" i="55" s="1"/>
  <c r="AE22" i="55"/>
  <c r="AF22" i="55" s="1"/>
  <c r="AK22" i="55" s="1"/>
  <c r="AE27" i="55"/>
  <c r="AF27" i="55" s="1"/>
  <c r="AK27" i="55" s="1"/>
  <c r="AB11" i="55"/>
  <c r="AB13" i="55"/>
  <c r="AB15" i="55"/>
  <c r="AB17" i="55"/>
  <c r="AB19" i="55"/>
  <c r="AB20" i="55"/>
  <c r="AB22" i="55"/>
  <c r="AB24" i="55"/>
  <c r="AB27" i="55"/>
  <c r="AB29" i="55"/>
  <c r="AB39" i="55"/>
  <c r="AB44" i="55"/>
  <c r="AB6" i="55"/>
  <c r="N11" i="55"/>
  <c r="R11" i="55" s="1"/>
  <c r="Z11" i="55"/>
  <c r="AB12" i="55"/>
  <c r="Z13" i="55"/>
  <c r="N15" i="55"/>
  <c r="R15" i="55" s="1"/>
  <c r="Z15" i="55"/>
  <c r="N17" i="55"/>
  <c r="R17" i="55" s="1"/>
  <c r="Z17" i="55"/>
  <c r="N19" i="55"/>
  <c r="R19" i="55" s="1"/>
  <c r="Z19" i="55"/>
  <c r="Z20" i="55"/>
  <c r="N22" i="55"/>
  <c r="R22" i="55" s="1"/>
  <c r="S22" i="55" s="1"/>
  <c r="T22" i="55" s="1"/>
  <c r="U22" i="55" s="1"/>
  <c r="Z22" i="55"/>
  <c r="N24" i="55"/>
  <c r="R24" i="55" s="1"/>
  <c r="Z24" i="55"/>
  <c r="N27" i="55"/>
  <c r="R27" i="55" s="1"/>
  <c r="Z27" i="55"/>
  <c r="N29" i="55"/>
  <c r="R29" i="55" s="1"/>
  <c r="Z29" i="55"/>
  <c r="N31" i="55"/>
  <c r="N32" i="55"/>
  <c r="AB34" i="55"/>
  <c r="AE34" i="55"/>
  <c r="AF34" i="55" s="1"/>
  <c r="AK34" i="55" s="1"/>
  <c r="AB36" i="55"/>
  <c r="AE36" i="55"/>
  <c r="AF36" i="55" s="1"/>
  <c r="AK36" i="55" s="1"/>
  <c r="AB38" i="55"/>
  <c r="AE38" i="55"/>
  <c r="AF38" i="55" s="1"/>
  <c r="AK38" i="55" s="1"/>
  <c r="Z39" i="55"/>
  <c r="AB40" i="55"/>
  <c r="AE40" i="55"/>
  <c r="AF40" i="55" s="1"/>
  <c r="AK40" i="55" s="1"/>
  <c r="Z44" i="55"/>
  <c r="S5" i="55"/>
  <c r="T5" i="55" s="1"/>
  <c r="U5" i="55" s="1"/>
  <c r="S6" i="55"/>
  <c r="T6" i="55" s="1"/>
  <c r="U6" i="55" s="1"/>
  <c r="S10" i="55"/>
  <c r="T10" i="55" s="1"/>
  <c r="U10" i="55" s="1"/>
  <c r="S11" i="55"/>
  <c r="T11" i="55" s="1"/>
  <c r="U11" i="55" s="1"/>
  <c r="S14" i="55"/>
  <c r="T14" i="55" s="1"/>
  <c r="U14" i="55" s="1"/>
  <c r="S15" i="55"/>
  <c r="T15" i="55" s="1"/>
  <c r="U15" i="55" s="1"/>
  <c r="S16" i="55"/>
  <c r="T16" i="55" s="1"/>
  <c r="U16" i="55" s="1"/>
  <c r="S17" i="55"/>
  <c r="T17" i="55" s="1"/>
  <c r="U17" i="55" s="1"/>
  <c r="S18" i="55"/>
  <c r="T18" i="55" s="1"/>
  <c r="U18" i="55" s="1"/>
  <c r="S19" i="55"/>
  <c r="T19" i="55" s="1"/>
  <c r="U19" i="55" s="1"/>
  <c r="S20" i="55"/>
  <c r="T20" i="55" s="1"/>
  <c r="U20" i="55" s="1"/>
  <c r="S21" i="55"/>
  <c r="T21" i="55" s="1"/>
  <c r="U21" i="55" s="1"/>
  <c r="S7" i="55"/>
  <c r="T7" i="55" s="1"/>
  <c r="U7" i="55" s="1"/>
  <c r="O7" i="55"/>
  <c r="P7" i="55" s="1"/>
  <c r="AA8" i="55"/>
  <c r="AA9" i="55"/>
  <c r="O10" i="55"/>
  <c r="P10" i="55" s="1"/>
  <c r="AA10" i="55"/>
  <c r="O12" i="55"/>
  <c r="P12" i="55" s="1"/>
  <c r="O13" i="55"/>
  <c r="P13" i="55" s="1"/>
  <c r="O14" i="55"/>
  <c r="P14" i="55" s="1"/>
  <c r="AA14" i="55"/>
  <c r="O16" i="55"/>
  <c r="P16" i="55" s="1"/>
  <c r="AA16" i="55"/>
  <c r="O18" i="55"/>
  <c r="P18" i="55" s="1"/>
  <c r="AA18" i="55"/>
  <c r="O20" i="55"/>
  <c r="P20" i="55" s="1"/>
  <c r="AB21" i="55"/>
  <c r="Z21" i="55"/>
  <c r="S33" i="55"/>
  <c r="T33" i="55" s="1"/>
  <c r="U33" i="55" s="1"/>
  <c r="O5" i="55"/>
  <c r="P5" i="55" s="1"/>
  <c r="AA5" i="55"/>
  <c r="AA7" i="55"/>
  <c r="Z5" i="55"/>
  <c r="Z7" i="55"/>
  <c r="Z8" i="55"/>
  <c r="Z9" i="55"/>
  <c r="Z10" i="55"/>
  <c r="Z14" i="55"/>
  <c r="Z16" i="55"/>
  <c r="Z18" i="55"/>
  <c r="O21" i="55"/>
  <c r="P21" i="55" s="1"/>
  <c r="AA21" i="55"/>
  <c r="S23" i="55"/>
  <c r="T23" i="55" s="1"/>
  <c r="U23" i="55" s="1"/>
  <c r="S24" i="55"/>
  <c r="T24" i="55" s="1"/>
  <c r="U24" i="55" s="1"/>
  <c r="S25" i="55"/>
  <c r="T25" i="55" s="1"/>
  <c r="U25" i="55" s="1"/>
  <c r="S27" i="55"/>
  <c r="T27" i="55" s="1"/>
  <c r="U27" i="55" s="1"/>
  <c r="S28" i="55"/>
  <c r="T28" i="55" s="1"/>
  <c r="U28" i="55" s="1"/>
  <c r="S29" i="55"/>
  <c r="T29" i="55" s="1"/>
  <c r="U29" i="55" s="1"/>
  <c r="S30" i="55"/>
  <c r="T30" i="55" s="1"/>
  <c r="U30" i="55" s="1"/>
  <c r="O23" i="55"/>
  <c r="P23" i="55" s="1"/>
  <c r="AA23" i="55"/>
  <c r="O25" i="55"/>
  <c r="P25" i="55" s="1"/>
  <c r="AA25" i="55"/>
  <c r="O28" i="55"/>
  <c r="P28" i="55" s="1"/>
  <c r="AA28" i="55"/>
  <c r="O30" i="55"/>
  <c r="P30" i="55" s="1"/>
  <c r="AA30" i="55"/>
  <c r="AA31" i="55"/>
  <c r="AB32" i="55"/>
  <c r="Z32" i="55"/>
  <c r="AB33" i="55"/>
  <c r="Z33" i="55"/>
  <c r="Z23" i="55"/>
  <c r="Z25" i="55"/>
  <c r="Z28" i="55"/>
  <c r="Z30" i="55"/>
  <c r="Z31" i="55"/>
  <c r="AA32" i="55"/>
  <c r="O33" i="55"/>
  <c r="P33" i="55" s="1"/>
  <c r="AA33" i="55"/>
  <c r="S36" i="55"/>
  <c r="T36" i="55" s="1"/>
  <c r="U36" i="55" s="1"/>
  <c r="N35" i="55"/>
  <c r="R35" i="55" s="1"/>
  <c r="Z35" i="55"/>
  <c r="AB35" i="55"/>
  <c r="N37" i="55"/>
  <c r="R37" i="55" s="1"/>
  <c r="Z37" i="55"/>
  <c r="AB37" i="55"/>
  <c r="N39" i="55"/>
  <c r="N40" i="55"/>
  <c r="N41" i="55"/>
  <c r="R41" i="55" s="1"/>
  <c r="Z41" i="55"/>
  <c r="AB41" i="55"/>
  <c r="Z43" i="55"/>
  <c r="AB43" i="55"/>
  <c r="N44" i="55"/>
  <c r="Z45" i="55"/>
  <c r="AB45" i="55"/>
  <c r="S37" i="55" l="1"/>
  <c r="T37" i="55" s="1"/>
  <c r="U37" i="55" s="1"/>
  <c r="S41" i="55"/>
  <c r="T41" i="55" s="1"/>
  <c r="U41" i="55" s="1"/>
  <c r="S35" i="55"/>
  <c r="T35" i="55" s="1"/>
  <c r="U35" i="55" s="1"/>
  <c r="AB7" i="22" l="1"/>
  <c r="AB8" i="22"/>
  <c r="AA7" i="22"/>
  <c r="AA8" i="22"/>
  <c r="Z7" i="22"/>
  <c r="Z8" i="22"/>
  <c r="AB6" i="22"/>
  <c r="AE6" i="22" s="1"/>
  <c r="AA6" i="22"/>
  <c r="AD6" i="22" s="1"/>
  <c r="Z6" i="22"/>
  <c r="AC6" i="22" s="1"/>
  <c r="AF6" i="22" s="1"/>
  <c r="Y8" i="2"/>
  <c r="Y14" i="2"/>
  <c r="Y17" i="2"/>
  <c r="Y18" i="2"/>
  <c r="Z17" i="2"/>
  <c r="Z18" i="2"/>
  <c r="Z8" i="2"/>
  <c r="AE7" i="22"/>
  <c r="AE8" i="22"/>
  <c r="AH8" i="22" s="1"/>
  <c r="AN8" i="22" s="1"/>
  <c r="AD7" i="22"/>
  <c r="AG7" i="22" s="1"/>
  <c r="AD8" i="22"/>
  <c r="AG8" i="22" s="1"/>
  <c r="AM8" i="22" s="1"/>
  <c r="AM7" i="22"/>
  <c r="AA8" i="2"/>
  <c r="AA17" i="2"/>
  <c r="AA18" i="2"/>
  <c r="AK12" i="13"/>
  <c r="AL12" i="13" s="1"/>
  <c r="AK13" i="13"/>
  <c r="AL13" i="13" s="1"/>
  <c r="AK14" i="13"/>
  <c r="AL14" i="13" s="1"/>
  <c r="AK11" i="13"/>
  <c r="AL11" i="13" s="1"/>
  <c r="AK45" i="13"/>
  <c r="AL45" i="13" s="1"/>
  <c r="AI12" i="13"/>
  <c r="AI13" i="13"/>
  <c r="AI14" i="13"/>
  <c r="AI15" i="13"/>
  <c r="AI16" i="13"/>
  <c r="AI17" i="13"/>
  <c r="AI18" i="13"/>
  <c r="AI19" i="13"/>
  <c r="AI20" i="13"/>
  <c r="AI26" i="13"/>
  <c r="AI27" i="13"/>
  <c r="AI28" i="13"/>
  <c r="AI29" i="13"/>
  <c r="AI30" i="13"/>
  <c r="AI31" i="13"/>
  <c r="AI32" i="13"/>
  <c r="AI33" i="13"/>
  <c r="AI34" i="13"/>
  <c r="AI35" i="13"/>
  <c r="AI37" i="13"/>
  <c r="AI38" i="13"/>
  <c r="AI39" i="13"/>
  <c r="AI40" i="13"/>
  <c r="AI41" i="13"/>
  <c r="AI42" i="13"/>
  <c r="AI43" i="13"/>
  <c r="AI44" i="13"/>
  <c r="AI45" i="13"/>
  <c r="AI46" i="13"/>
  <c r="AI47" i="13"/>
  <c r="AI48" i="13"/>
  <c r="AI49" i="13"/>
  <c r="AI50" i="13"/>
  <c r="AI51" i="13"/>
  <c r="AI56" i="13"/>
  <c r="AI57" i="13"/>
  <c r="AI11" i="13"/>
  <c r="AG15" i="13"/>
  <c r="AK15" i="13" s="1"/>
  <c r="AL15" i="13" s="1"/>
  <c r="AG16" i="13"/>
  <c r="AK16" i="13" s="1"/>
  <c r="AL16" i="13" s="1"/>
  <c r="AG17" i="13"/>
  <c r="AK17" i="13" s="1"/>
  <c r="AL17" i="13" s="1"/>
  <c r="AG18" i="13"/>
  <c r="AK18" i="13" s="1"/>
  <c r="AL18" i="13" s="1"/>
  <c r="AG19" i="13"/>
  <c r="AK19" i="13" s="1"/>
  <c r="AL19" i="13" s="1"/>
  <c r="AG20" i="13"/>
  <c r="AK20" i="13" s="1"/>
  <c r="AL20" i="13" s="1"/>
  <c r="AG26" i="13"/>
  <c r="AG27" i="13"/>
  <c r="AG28" i="13"/>
  <c r="AG29" i="13"/>
  <c r="AK29" i="13" s="1"/>
  <c r="AL29" i="13" s="1"/>
  <c r="AG30" i="13"/>
  <c r="AK30" i="13" s="1"/>
  <c r="AL30" i="13" s="1"/>
  <c r="AG31" i="13"/>
  <c r="AK31" i="13" s="1"/>
  <c r="AL31" i="13" s="1"/>
  <c r="AG32" i="13"/>
  <c r="AK32" i="13" s="1"/>
  <c r="AL32" i="13" s="1"/>
  <c r="AG33" i="13"/>
  <c r="AK33" i="13" s="1"/>
  <c r="AL33" i="13" s="1"/>
  <c r="AG34" i="13"/>
  <c r="AK34" i="13" s="1"/>
  <c r="AL34" i="13" s="1"/>
  <c r="AG37" i="13"/>
  <c r="AG38" i="13"/>
  <c r="AG39" i="13"/>
  <c r="AG40" i="13"/>
  <c r="AK40" i="13" s="1"/>
  <c r="AL40" i="13" s="1"/>
  <c r="AG41" i="13"/>
  <c r="AK41" i="13" s="1"/>
  <c r="AL41" i="13" s="1"/>
  <c r="AG42" i="13"/>
  <c r="AG43" i="13"/>
  <c r="AG44" i="13"/>
  <c r="AG46" i="13"/>
  <c r="AG47" i="13"/>
  <c r="AG48" i="13"/>
  <c r="AG49" i="13"/>
  <c r="AK49" i="13" s="1"/>
  <c r="AL49" i="13" s="1"/>
  <c r="AG50" i="13"/>
  <c r="AK50" i="13" s="1"/>
  <c r="AL50" i="13" s="1"/>
  <c r="AG51" i="13"/>
  <c r="AK51" i="13" s="1"/>
  <c r="AL51" i="13" s="1"/>
  <c r="AG56" i="13"/>
  <c r="AG57" i="13"/>
  <c r="V8" i="2"/>
  <c r="V17" i="2"/>
  <c r="V18" i="2"/>
  <c r="AH49" i="13"/>
  <c r="AH50" i="13"/>
  <c r="AH51" i="13"/>
  <c r="AH45" i="13"/>
  <c r="AH12" i="13"/>
  <c r="AH13" i="13"/>
  <c r="AH14" i="13"/>
  <c r="AH15" i="13"/>
  <c r="AH16" i="13"/>
  <c r="AH17" i="13"/>
  <c r="AH18" i="13"/>
  <c r="AH19" i="13"/>
  <c r="AH20" i="13"/>
  <c r="AH29" i="13"/>
  <c r="AH30" i="13"/>
  <c r="AH31" i="13"/>
  <c r="AH32" i="13"/>
  <c r="AH33" i="13"/>
  <c r="AH34" i="13"/>
  <c r="AH40" i="13"/>
  <c r="AH41" i="13"/>
  <c r="AH11" i="13"/>
  <c r="T11" i="13"/>
  <c r="T12" i="13"/>
  <c r="N13" i="13"/>
  <c r="O13" i="13"/>
  <c r="T13" i="13"/>
  <c r="N14" i="13"/>
  <c r="O14" i="13"/>
  <c r="T14" i="13"/>
  <c r="M34" i="13"/>
  <c r="O34" i="13"/>
  <c r="Q34" i="13"/>
  <c r="T34" i="13"/>
  <c r="N35" i="13"/>
  <c r="R41" i="13"/>
  <c r="N7" i="22"/>
  <c r="N6" i="22"/>
  <c r="AA33" i="13"/>
  <c r="AB33" i="13" s="1"/>
  <c r="AC33" i="13" s="1"/>
  <c r="AA34" i="13"/>
  <c r="AA35" i="13"/>
  <c r="AB35" i="13" s="1"/>
  <c r="AC35" i="13" s="1"/>
  <c r="P8" i="2"/>
  <c r="Q8" i="2" s="1"/>
  <c r="R8" i="2" s="1"/>
  <c r="P17" i="2"/>
  <c r="P18" i="2"/>
  <c r="Q18" i="2" s="1"/>
  <c r="R18" i="2" s="1"/>
  <c r="A1" i="45"/>
  <c r="A53" i="45" s="1"/>
  <c r="A113" i="45" s="1"/>
  <c r="A174" i="45" s="1"/>
  <c r="D6" i="45"/>
  <c r="D7" i="45"/>
  <c r="D8" i="45"/>
  <c r="D9" i="45"/>
  <c r="D10" i="45"/>
  <c r="D11" i="45"/>
  <c r="D12" i="45"/>
  <c r="D13" i="45"/>
  <c r="D14" i="45"/>
  <c r="D16" i="45"/>
  <c r="D17" i="45"/>
  <c r="D18" i="45"/>
  <c r="D19" i="45"/>
  <c r="D20" i="45"/>
  <c r="D21" i="45"/>
  <c r="D22" i="45"/>
  <c r="D23" i="45"/>
  <c r="D24" i="45"/>
  <c r="D26" i="45"/>
  <c r="D27" i="45"/>
  <c r="D28" i="45"/>
  <c r="D29" i="45"/>
  <c r="D30" i="45"/>
  <c r="D31" i="45"/>
  <c r="D32" i="45"/>
  <c r="D34" i="45"/>
  <c r="D35" i="45"/>
  <c r="D36" i="45"/>
  <c r="D37" i="45"/>
  <c r="D38" i="45"/>
  <c r="D39" i="45"/>
  <c r="D41" i="45"/>
  <c r="D42" i="45"/>
  <c r="D44" i="45"/>
  <c r="D45" i="45"/>
  <c r="D47" i="45"/>
  <c r="D57" i="45"/>
  <c r="D58" i="45"/>
  <c r="D59" i="45"/>
  <c r="D60" i="45"/>
  <c r="D61" i="45"/>
  <c r="D62" i="45"/>
  <c r="D63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9" i="45"/>
  <c r="D100" i="45"/>
  <c r="D101" i="45"/>
  <c r="D102" i="45"/>
  <c r="D104" i="45"/>
  <c r="D105" i="45"/>
  <c r="D106" i="45"/>
  <c r="D107" i="45"/>
  <c r="D108" i="45"/>
  <c r="D109" i="45"/>
  <c r="D117" i="45"/>
  <c r="D118" i="45"/>
  <c r="D119" i="45"/>
  <c r="D121" i="45"/>
  <c r="D122" i="45"/>
  <c r="D123" i="45"/>
  <c r="D124" i="45"/>
  <c r="D125" i="45"/>
  <c r="D126" i="45"/>
  <c r="D127" i="45"/>
  <c r="D128" i="45"/>
  <c r="D129" i="45"/>
  <c r="D130" i="45"/>
  <c r="D131" i="45"/>
  <c r="D132" i="45"/>
  <c r="D133" i="45"/>
  <c r="D135" i="45"/>
  <c r="D136" i="45"/>
  <c r="D137" i="45"/>
  <c r="D138" i="45"/>
  <c r="D139" i="45"/>
  <c r="D140" i="45"/>
  <c r="D141" i="45"/>
  <c r="D142" i="45"/>
  <c r="D144" i="45"/>
  <c r="D145" i="45"/>
  <c r="D146" i="45"/>
  <c r="D147" i="45"/>
  <c r="D148" i="45"/>
  <c r="D149" i="45"/>
  <c r="D150" i="45"/>
  <c r="D151" i="45"/>
  <c r="D152" i="45"/>
  <c r="D153" i="45"/>
  <c r="D154" i="45"/>
  <c r="D155" i="45"/>
  <c r="D156" i="45"/>
  <c r="D158" i="45"/>
  <c r="D159" i="45"/>
  <c r="D160" i="45"/>
  <c r="D161" i="45"/>
  <c r="D162" i="45"/>
  <c r="D163" i="45"/>
  <c r="D164" i="45"/>
  <c r="D165" i="45"/>
  <c r="D178" i="45"/>
  <c r="D179" i="45"/>
  <c r="D180" i="45"/>
  <c r="D181" i="45"/>
  <c r="D182" i="45"/>
  <c r="D183" i="45"/>
  <c r="D184" i="45"/>
  <c r="D185" i="45"/>
  <c r="D187" i="45"/>
  <c r="D188" i="45"/>
  <c r="D189" i="45"/>
  <c r="D190" i="45"/>
  <c r="D191" i="45"/>
  <c r="D192" i="45"/>
  <c r="D193" i="45"/>
  <c r="D194" i="45"/>
  <c r="D195" i="45"/>
  <c r="D196" i="45"/>
  <c r="D197" i="45"/>
  <c r="D198" i="45"/>
  <c r="D199" i="45"/>
  <c r="D200" i="45"/>
  <c r="D201" i="45"/>
  <c r="D203" i="45"/>
  <c r="D204" i="45"/>
  <c r="D205" i="45"/>
  <c r="D207" i="45"/>
  <c r="D208" i="45"/>
  <c r="D209" i="45"/>
  <c r="D210" i="45"/>
  <c r="D211" i="45"/>
  <c r="D212" i="45"/>
  <c r="D213" i="45"/>
  <c r="D215" i="45"/>
  <c r="D216" i="45"/>
  <c r="D217" i="45"/>
  <c r="D218" i="45"/>
  <c r="D219" i="45"/>
  <c r="D220" i="45"/>
  <c r="D221" i="45"/>
  <c r="D222" i="45"/>
  <c r="D223" i="45"/>
  <c r="D224" i="45"/>
  <c r="D238" i="45"/>
  <c r="D239" i="45"/>
  <c r="D240" i="45"/>
  <c r="D241" i="45"/>
  <c r="D242" i="45"/>
  <c r="D243" i="45"/>
  <c r="D244" i="45"/>
  <c r="D245" i="45"/>
  <c r="D246" i="45"/>
  <c r="D247" i="45"/>
  <c r="D248" i="45"/>
  <c r="D249" i="45"/>
  <c r="D250" i="45"/>
  <c r="D251" i="45"/>
  <c r="D252" i="45"/>
  <c r="D253" i="45"/>
  <c r="D254" i="45"/>
  <c r="D255" i="45"/>
  <c r="D256" i="45"/>
  <c r="D257" i="45"/>
  <c r="D258" i="45"/>
  <c r="D259" i="45"/>
  <c r="D260" i="45"/>
  <c r="D261" i="45"/>
  <c r="D262" i="45"/>
  <c r="D263" i="45"/>
  <c r="D264" i="45"/>
  <c r="D265" i="45"/>
  <c r="D266" i="45"/>
  <c r="D267" i="45"/>
  <c r="D268" i="45"/>
  <c r="D269" i="45"/>
  <c r="D270" i="45"/>
  <c r="D271" i="45"/>
  <c r="D272" i="45"/>
  <c r="D274" i="45"/>
  <c r="D275" i="45"/>
  <c r="D276" i="45"/>
  <c r="D278" i="45"/>
  <c r="D279" i="45"/>
  <c r="D280" i="45"/>
  <c r="D281" i="45"/>
  <c r="D282" i="45"/>
  <c r="D284" i="45"/>
  <c r="D285" i="45"/>
  <c r="D286" i="45"/>
  <c r="D288" i="45"/>
  <c r="D289" i="45"/>
  <c r="D290" i="45"/>
  <c r="D291" i="45"/>
  <c r="D292" i="45"/>
  <c r="D293" i="45"/>
  <c r="D304" i="45"/>
  <c r="D305" i="45"/>
  <c r="D306" i="45"/>
  <c r="D307" i="45"/>
  <c r="D308" i="45"/>
  <c r="D309" i="45"/>
  <c r="D310" i="45"/>
  <c r="D311" i="45"/>
  <c r="D313" i="45"/>
  <c r="D314" i="45"/>
  <c r="D315" i="45"/>
  <c r="D316" i="45"/>
  <c r="D318" i="45"/>
  <c r="D319" i="45"/>
  <c r="D320" i="45"/>
  <c r="D322" i="45"/>
  <c r="D323" i="45"/>
  <c r="D324" i="45"/>
  <c r="D325" i="45"/>
  <c r="D326" i="45"/>
  <c r="D327" i="45"/>
  <c r="D328" i="45"/>
  <c r="D329" i="45"/>
  <c r="D330" i="45"/>
  <c r="D331" i="45"/>
  <c r="D332" i="45"/>
  <c r="D334" i="45"/>
  <c r="D335" i="45"/>
  <c r="D336" i="45"/>
  <c r="D337" i="45"/>
  <c r="H4" i="47"/>
  <c r="D4" i="47" s="1"/>
  <c r="H5" i="47"/>
  <c r="D5" i="47" s="1"/>
  <c r="H6" i="47"/>
  <c r="I6" i="47" s="1"/>
  <c r="H7" i="47"/>
  <c r="I7" i="47" s="1"/>
  <c r="H8" i="47"/>
  <c r="I8" i="47" s="1"/>
  <c r="H9" i="47"/>
  <c r="I9" i="47" s="1"/>
  <c r="E10" i="47"/>
  <c r="H10" i="47"/>
  <c r="I10" i="47" s="1"/>
  <c r="Q6" i="22"/>
  <c r="T6" i="22"/>
  <c r="U6" i="22" s="1"/>
  <c r="V6" i="22" s="1"/>
  <c r="Q7" i="22"/>
  <c r="R7" i="22" s="1"/>
  <c r="S7" i="22" s="1"/>
  <c r="T7" i="22"/>
  <c r="U7" i="22" s="1"/>
  <c r="V7" i="22" s="1"/>
  <c r="Q8" i="22"/>
  <c r="N8" i="22"/>
  <c r="R8" i="22"/>
  <c r="S8" i="22" s="1"/>
  <c r="T8" i="22"/>
  <c r="U8" i="22" s="1"/>
  <c r="V8" i="22" s="1"/>
  <c r="A1" i="11"/>
  <c r="N6" i="11"/>
  <c r="O6" i="11"/>
  <c r="S6" i="11"/>
  <c r="P7" i="11"/>
  <c r="Q7" i="11" s="1"/>
  <c r="S7" i="11"/>
  <c r="N10" i="11"/>
  <c r="O10" i="11"/>
  <c r="S10" i="11"/>
  <c r="M11" i="11"/>
  <c r="O11" i="11" s="1"/>
  <c r="S11" i="11"/>
  <c r="M12" i="11"/>
  <c r="O12" i="11" s="1"/>
  <c r="N13" i="11"/>
  <c r="O13" i="11"/>
  <c r="S13" i="11"/>
  <c r="M14" i="11"/>
  <c r="O14" i="11" s="1"/>
  <c r="S14" i="11"/>
  <c r="M15" i="11"/>
  <c r="O15" i="11" s="1"/>
  <c r="M19" i="11"/>
  <c r="O19" i="11" s="1"/>
  <c r="Q17" i="2"/>
  <c r="R17" i="2" s="1"/>
  <c r="J6" i="13"/>
  <c r="J7" i="13"/>
  <c r="J8" i="13"/>
  <c r="J9" i="13"/>
  <c r="J10" i="13"/>
  <c r="AA11" i="13"/>
  <c r="AB11" i="13" s="1"/>
  <c r="AC11" i="13" s="1"/>
  <c r="J11" i="13"/>
  <c r="U11" i="13"/>
  <c r="AA12" i="13"/>
  <c r="AB12" i="13" s="1"/>
  <c r="AC12" i="13" s="1"/>
  <c r="J12" i="13"/>
  <c r="U12" i="13"/>
  <c r="J21" i="13"/>
  <c r="AA13" i="13"/>
  <c r="AB13" i="13" s="1"/>
  <c r="AC13" i="13" s="1"/>
  <c r="J13" i="13"/>
  <c r="U13" i="13"/>
  <c r="X13" i="13"/>
  <c r="Z13" i="13"/>
  <c r="AA14" i="13"/>
  <c r="AB14" i="13" s="1"/>
  <c r="AC14" i="13" s="1"/>
  <c r="J14" i="13"/>
  <c r="U14" i="13"/>
  <c r="X14" i="13"/>
  <c r="Z14" i="13"/>
  <c r="J15" i="13"/>
  <c r="AA15" i="13"/>
  <c r="AB15" i="13" s="1"/>
  <c r="AC15" i="13" s="1"/>
  <c r="J16" i="13"/>
  <c r="AA16" i="13"/>
  <c r="AB16" i="13" s="1"/>
  <c r="AC16" i="13" s="1"/>
  <c r="J17" i="13"/>
  <c r="AA17" i="13"/>
  <c r="AB17" i="13" s="1"/>
  <c r="AC17" i="13" s="1"/>
  <c r="J18" i="13"/>
  <c r="AA18" i="13"/>
  <c r="AB18" i="13" s="1"/>
  <c r="AC18" i="13" s="1"/>
  <c r="J19" i="13"/>
  <c r="AA19" i="13"/>
  <c r="AB19" i="13" s="1"/>
  <c r="AC19" i="13" s="1"/>
  <c r="J20" i="13"/>
  <c r="AA20" i="13"/>
  <c r="AB20" i="13" s="1"/>
  <c r="AC20" i="13" s="1"/>
  <c r="J29" i="13"/>
  <c r="AA29" i="13"/>
  <c r="AB29" i="13" s="1"/>
  <c r="AC29" i="13" s="1"/>
  <c r="J30" i="13"/>
  <c r="AA30" i="13"/>
  <c r="AB30" i="13" s="1"/>
  <c r="AC30" i="13" s="1"/>
  <c r="J31" i="13"/>
  <c r="AA31" i="13"/>
  <c r="AB31" i="13" s="1"/>
  <c r="AC31" i="13" s="1"/>
  <c r="J32" i="13"/>
  <c r="AA32" i="13"/>
  <c r="AB32" i="13" s="1"/>
  <c r="AC32" i="13" s="1"/>
  <c r="X34" i="13"/>
  <c r="Z34" i="13"/>
  <c r="AB34" i="13"/>
  <c r="AC34" i="13" s="1"/>
  <c r="AA40" i="13"/>
  <c r="AB40" i="13" s="1"/>
  <c r="AC40" i="13" s="1"/>
  <c r="AA41" i="13"/>
  <c r="AB41" i="13" s="1"/>
  <c r="AC41" i="13" s="1"/>
  <c r="AA45" i="13"/>
  <c r="AB45" i="13" s="1"/>
  <c r="AC45" i="13" s="1"/>
  <c r="AA49" i="13"/>
  <c r="AB49" i="13" s="1"/>
  <c r="AC49" i="13" s="1"/>
  <c r="AA50" i="13"/>
  <c r="AB50" i="13" s="1"/>
  <c r="AC50" i="13" s="1"/>
  <c r="AA51" i="13"/>
  <c r="AB51" i="13" s="1"/>
  <c r="AC51" i="13" s="1"/>
  <c r="J11" i="31"/>
  <c r="P13" i="11"/>
  <c r="Q13" i="11" s="1"/>
  <c r="P10" i="11"/>
  <c r="Q10" i="11" s="1"/>
  <c r="O7" i="22"/>
  <c r="P7" i="22" s="1"/>
  <c r="R6" i="22"/>
  <c r="S6" i="22" s="1"/>
  <c r="O8" i="22"/>
  <c r="P8" i="22" s="1"/>
  <c r="O6" i="22"/>
  <c r="P6" i="22" s="1"/>
  <c r="P11" i="11" l="1"/>
  <c r="P6" i="11"/>
  <c r="Q6" i="11" s="1"/>
  <c r="Q11" i="11"/>
  <c r="P19" i="11"/>
  <c r="Q19" i="11" s="1"/>
  <c r="P14" i="11"/>
  <c r="Q14" i="11" s="1"/>
  <c r="I4" i="47"/>
  <c r="P12" i="11"/>
  <c r="Q12" i="11" s="1"/>
  <c r="P15" i="11"/>
  <c r="Q15" i="11" s="1"/>
  <c r="D9" i="47"/>
  <c r="E9" i="47" s="1"/>
  <c r="D8" i="47"/>
  <c r="E8" i="47" s="1"/>
  <c r="I5" i="47"/>
  <c r="AC8" i="22"/>
  <c r="AF8" i="22" s="1"/>
  <c r="AL8" i="22" s="1"/>
  <c r="AC7" i="22"/>
  <c r="AH7" i="22"/>
  <c r="AN7" i="22" s="1"/>
  <c r="AG6" i="22"/>
  <c r="AM6" i="22" s="1"/>
  <c r="AL6" i="22"/>
  <c r="AH6" i="22"/>
  <c r="AN6" i="22" s="1"/>
  <c r="AF7" i="22"/>
  <c r="AL7" i="22" s="1"/>
  <c r="AH35" i="13"/>
</calcChain>
</file>

<file path=xl/sharedStrings.xml><?xml version="1.0" encoding="utf-8"?>
<sst xmlns="http://schemas.openxmlformats.org/spreadsheetml/2006/main" count="1723" uniqueCount="778">
  <si>
    <t>Толщина, мм</t>
  </si>
  <si>
    <t>Ширина, мм</t>
  </si>
  <si>
    <t>Происхождение товара</t>
  </si>
  <si>
    <t>Технические характеристики товара</t>
  </si>
  <si>
    <t>Наличие</t>
  </si>
  <si>
    <t>Ценообразование и условия
 поставки</t>
  </si>
  <si>
    <t>Длина
мм</t>
  </si>
  <si>
    <t>Кол-во
 шт в пачке</t>
  </si>
  <si>
    <t>склад- г. Киев</t>
  </si>
  <si>
    <t xml:space="preserve">Кол-во  м³  в уп </t>
  </si>
  <si>
    <t>КРЕПЕЖ ДЛЯ ПРОФИЛИРОВАННЫХ ЛИСТОВЫХ МЕТАЛЛОВ</t>
  </si>
  <si>
    <t xml:space="preserve">Кол-во  шт  в уп </t>
  </si>
  <si>
    <t>Опт уп.</t>
  </si>
  <si>
    <t>Глубина сверления</t>
  </si>
  <si>
    <t>до 3мм</t>
  </si>
  <si>
    <t>RAL</t>
  </si>
  <si>
    <t>Zn</t>
  </si>
  <si>
    <t>Самосверлящие шурупы оцинкованные, окрашенные согласно RAL по дереву</t>
  </si>
  <si>
    <t>до 5мм</t>
  </si>
  <si>
    <t>Ценообразование и условия поставки</t>
  </si>
  <si>
    <t>Длина,
мм</t>
  </si>
  <si>
    <t xml:space="preserve">Завод Производитель </t>
  </si>
  <si>
    <t>Цвет</t>
  </si>
  <si>
    <t>-</t>
  </si>
  <si>
    <t>RAL 3005, RAL 5005, RAL 6005, RAL 8017, RAL 9003…</t>
  </si>
  <si>
    <t>Ед. измерения</t>
  </si>
  <si>
    <t>Кол-во
м в рулоне</t>
  </si>
  <si>
    <t>Плотность
гр/м.кв</t>
  </si>
  <si>
    <t>Наименование</t>
  </si>
  <si>
    <t>ПБ,ГБ 110</t>
  </si>
  <si>
    <t xml:space="preserve"> м.кв</t>
  </si>
  <si>
    <t>прозрачный</t>
  </si>
  <si>
    <t>ПБ,ГБ 96 СИ</t>
  </si>
  <si>
    <t>Антиконденсат</t>
  </si>
  <si>
    <t>белый</t>
  </si>
  <si>
    <t>Паробарьер R110</t>
  </si>
  <si>
    <t>алюм./прозр.</t>
  </si>
  <si>
    <t>Гидробарьер-паробарьер</t>
  </si>
  <si>
    <t>Евробарьер</t>
  </si>
  <si>
    <t>зел./серый</t>
  </si>
  <si>
    <t>Евробарьер плюс</t>
  </si>
  <si>
    <t>Мембрана SD</t>
  </si>
  <si>
    <t>Ветробарьер</t>
  </si>
  <si>
    <t>Лента К-2</t>
  </si>
  <si>
    <t>бутилкаучук</t>
  </si>
  <si>
    <t>15мм</t>
  </si>
  <si>
    <t>Длина
м</t>
  </si>
  <si>
    <t>Материал</t>
  </si>
  <si>
    <t>Заклепки, окрашенные согласно RAL</t>
  </si>
  <si>
    <t>4,0х08</t>
  </si>
  <si>
    <t>Размер, мм</t>
  </si>
  <si>
    <t>Корея</t>
  </si>
  <si>
    <t>Ширина, м</t>
  </si>
  <si>
    <t>Высота
мм</t>
  </si>
  <si>
    <t>плотность кг\м³</t>
  </si>
  <si>
    <t>до 30</t>
  </si>
  <si>
    <t>РОКЛАЙТ</t>
  </si>
  <si>
    <t>Пленки</t>
  </si>
  <si>
    <t>URSA M 11 50</t>
  </si>
  <si>
    <t>URSA М-11 Ф50</t>
  </si>
  <si>
    <t>URSA M 11 50 ЛАЙТ</t>
  </si>
  <si>
    <t>Juta Чехия</t>
  </si>
  <si>
    <t>под заказ 2 дня</t>
  </si>
  <si>
    <t>Паробарьер 100
сильвер</t>
  </si>
  <si>
    <t>Гидробарьер-100 сильвер</t>
  </si>
  <si>
    <t>Кол-во
м/п в рулоне</t>
  </si>
  <si>
    <t>Примечание:</t>
  </si>
  <si>
    <t>Панель софит</t>
  </si>
  <si>
    <t>1,22 кв.м (4х0,31)</t>
  </si>
  <si>
    <t>18/108</t>
  </si>
  <si>
    <t>Панель софит перфорированная</t>
  </si>
  <si>
    <t>J-профиль</t>
  </si>
  <si>
    <t>4 м</t>
  </si>
  <si>
    <t>30/450</t>
  </si>
  <si>
    <t>Кол-во
 шт в пачке / паллете</t>
  </si>
  <si>
    <t>Софиты BRYZA</t>
  </si>
  <si>
    <t>Условия поставки</t>
  </si>
  <si>
    <r>
      <rPr>
        <b/>
        <i/>
        <sz val="7"/>
        <rFont val="Arial Cyr"/>
        <charset val="204"/>
      </rPr>
      <t>коричневый</t>
    </r>
    <r>
      <rPr>
        <i/>
        <sz val="7"/>
        <rFont val="Arial Cyr"/>
        <charset val="204"/>
      </rPr>
      <t>, красный, графит, зеленый, кирпичный</t>
    </r>
  </si>
  <si>
    <t>Утеплители URSA  Стекловата Официальный дилер</t>
  </si>
  <si>
    <t>Отпуск подкровельных пленок производится в рулонах цена за м/кв для справки!!!</t>
  </si>
  <si>
    <t>серебряный</t>
  </si>
  <si>
    <t>Мембраны</t>
  </si>
  <si>
    <t>Морозостойкость</t>
  </si>
  <si>
    <t>KRONO Ukraine</t>
  </si>
  <si>
    <t>Цены софитов указаны за 1 единицу = 1.22м2,  J и Н профилей указанны за шт.</t>
  </si>
  <si>
    <t>Краска Панссаримаали</t>
  </si>
  <si>
    <t>Применяется для наружной окраски оцинкованных, алюминиевых и стальных поверхностей.</t>
  </si>
  <si>
    <t>Алкидная краска Tikkurila</t>
  </si>
  <si>
    <r>
      <rPr>
        <b/>
        <i/>
        <sz val="7"/>
        <rFont val="Arial Cyr"/>
        <charset val="204"/>
      </rPr>
      <t>золотой дуб</t>
    </r>
    <r>
      <rPr>
        <i/>
        <sz val="7"/>
        <rFont val="Arial Cyr"/>
        <charset val="204"/>
      </rPr>
      <t>, орех,золотой орех</t>
    </r>
  </si>
  <si>
    <t>125/80</t>
  </si>
  <si>
    <t>Система</t>
  </si>
  <si>
    <t>Паро-гидробарьеры, мембраны</t>
  </si>
  <si>
    <t>Круги отрезные по металлу</t>
  </si>
  <si>
    <t>Круг отрезной по металлу</t>
  </si>
  <si>
    <t>Цена с НДС
за шт</t>
  </si>
  <si>
    <t>Цена с НДС
за кг</t>
  </si>
  <si>
    <t>Цена за рулон грн с НДС</t>
  </si>
  <si>
    <t>Цена грн с НДС
за шт</t>
  </si>
  <si>
    <t>Примечание:  ПРОДАЖА Электродов ТОЛЬКО КРАТНО УПАКОВКИ!</t>
  </si>
  <si>
    <t>Гидробарьер 100 сильвер IZOFOL</t>
  </si>
  <si>
    <t>Паробарьер 100 сильвер IZOFOL</t>
  </si>
  <si>
    <t>Пленка  гидроизоляционная Standart</t>
  </si>
  <si>
    <t>Пленка пароизоляционная Standart</t>
  </si>
  <si>
    <t>под заказ 3 дня</t>
  </si>
  <si>
    <t>Электроды предназначены для ручной дуговой сварки конструкций из углеродистых марок сталей,поставляемых по ГОСТ 380 (ст 0,ст 1,ст 2,ст 3) и ГОСТ 1050 (ст 05,ст 08,ст 10,ст 15,ст 20) всех степеней раскисления, во всех пространственных положениях, кроме вертикальногосверху вниз, на постоянном и переменном токе.</t>
  </si>
  <si>
    <t xml:space="preserve">Электроды предназначены для ручной дуговой сварки конструкций из низкоуглеродистых сталей во всех пространственных положениях на постоянном и переменном токе, в т.ч.газопроводов малого давления и водопроводных труб. </t>
  </si>
  <si>
    <t>Размеры</t>
  </si>
  <si>
    <t>Диаметр
мм</t>
  </si>
  <si>
    <t>ТЕХНОФАС</t>
  </si>
  <si>
    <t>Цена грн. с НДС,
за м2</t>
  </si>
  <si>
    <t>Цена грн. с НДС,
за м²</t>
  </si>
  <si>
    <t>Чехия/JUTA</t>
  </si>
  <si>
    <t>Теплосто-йкость</t>
  </si>
  <si>
    <t>Цена грн с НДС
за м.кв</t>
  </si>
  <si>
    <t>Цена грн. с НДС
за м.пог</t>
  </si>
  <si>
    <t>Уплотнитель универсальный (Украина)</t>
  </si>
  <si>
    <t>склад-г. Киев</t>
  </si>
  <si>
    <t xml:space="preserve">ПЛИТА OSB-3 (Плита с ориентированной плоской стружкой) </t>
  </si>
  <si>
    <t>Шуруп</t>
  </si>
  <si>
    <t>Заклепки алюминиевые</t>
  </si>
  <si>
    <t>Цена грн. с НДС
за шт.</t>
  </si>
  <si>
    <t>Цена грн. с НДС
за упаковку</t>
  </si>
  <si>
    <t>Цена грн с НДС
за шт.
(для справки!)</t>
  </si>
  <si>
    <t xml:space="preserve">Белый,
коричневый, 
 </t>
  </si>
  <si>
    <t>склад-г.Киев</t>
  </si>
  <si>
    <t>Цена грн. с НДС
за шт</t>
  </si>
  <si>
    <t>Объем мл</t>
  </si>
  <si>
    <t xml:space="preserve">Цвета RAL </t>
  </si>
  <si>
    <t>Применение</t>
  </si>
  <si>
    <t>DECO DACH глянец</t>
  </si>
  <si>
    <t>DECO DACH мат</t>
  </si>
  <si>
    <t>RAL 3005 RAL 3009, RAL 3011, RAL 6005, RAL 8017, RAL 9006</t>
  </si>
  <si>
    <t>RAL 3005, RAL 8017, RAL 7024, RAL 8004, RAL 8019</t>
  </si>
  <si>
    <t>Примечание:  ПРОДАЖА МЕТИЗОВ ТОЛЬКО КРАТНО УПАКОВКИ!</t>
  </si>
  <si>
    <t>Шуруп  M7/ 7cm (оригинальный Scala)</t>
  </si>
  <si>
    <t>Дюбель с шурупом M7 14cm (оригинальный Scala)</t>
  </si>
  <si>
    <t>м.кв</t>
  </si>
  <si>
    <t>серый</t>
  </si>
  <si>
    <t>золотой орех
 графит, золотой дуб,</t>
  </si>
  <si>
    <t>Уплотнитель Гранд КР+КН (карниз+конёк)</t>
  </si>
  <si>
    <t>Уплотнитель Афина КР+КН (карниз+конёк)</t>
  </si>
  <si>
    <t>LI-10х80</t>
  </si>
  <si>
    <t>LI-10х90</t>
  </si>
  <si>
    <t>LI-10х100</t>
  </si>
  <si>
    <t>LI-10х110</t>
  </si>
  <si>
    <t>LI-10х120</t>
  </si>
  <si>
    <t>LI-10х140</t>
  </si>
  <si>
    <t>LI-10х160</t>
  </si>
  <si>
    <t>LI-10х180</t>
  </si>
  <si>
    <t>LI-10х200</t>
  </si>
  <si>
    <t>Ширина, мм
Длина, мм</t>
  </si>
  <si>
    <t>LM-10х80</t>
  </si>
  <si>
    <t>LM-10х90</t>
  </si>
  <si>
    <t>LM-10х100</t>
  </si>
  <si>
    <t>LM-10х110</t>
  </si>
  <si>
    <t>LM-10х120</t>
  </si>
  <si>
    <t>LM-10х140</t>
  </si>
  <si>
    <t>LM-10х160</t>
  </si>
  <si>
    <t>LM-10х180</t>
  </si>
  <si>
    <t>LM-10х200</t>
  </si>
  <si>
    <t>LMD-10х120</t>
  </si>
  <si>
    <t>LMD-10х140</t>
  </si>
  <si>
    <t>LMD-10х160</t>
  </si>
  <si>
    <t>LMD-10х180</t>
  </si>
  <si>
    <t>LMD-10х200</t>
  </si>
  <si>
    <t>LMD-10х220</t>
  </si>
  <si>
    <t>LMD-10х240</t>
  </si>
  <si>
    <t xml:space="preserve">WB-4,8х50 </t>
  </si>
  <si>
    <t xml:space="preserve">WB-4,8х60 </t>
  </si>
  <si>
    <t>WB-4,8х70</t>
  </si>
  <si>
    <t>WB-4,8х80</t>
  </si>
  <si>
    <t xml:space="preserve">WB-4,8х100 </t>
  </si>
  <si>
    <t xml:space="preserve">WB-4,8х120 </t>
  </si>
  <si>
    <t>WB-4,8х150</t>
  </si>
  <si>
    <t>ДЮБЕЛЬ ДЛЯ КРЕПЛЕНИЯ МЯГКИХ ИЗОЛ. МАТЕРИАЛОВ</t>
  </si>
  <si>
    <t>Дюбель со стальным оцинкованным гвоздем
для (каменной ваты)</t>
  </si>
  <si>
    <t>Дюбель со стальным оцинкованным гвоздем и термоголовкой
для (каменной ваты)</t>
  </si>
  <si>
    <t>САМОРЕЗ К ДЮБЕЛЮ LDK, LDN 
ДЛЯ КРЕПЛЕНИЯ МЯГКИХ ИЗОЛ. МАТЕРИАЛОВ ПО МЕТАЛЛУ</t>
  </si>
  <si>
    <t>Уплотнитель Валенсия КР+КН (карниз+конёк)</t>
  </si>
  <si>
    <t>под заказ 7 дней</t>
  </si>
  <si>
    <t>Самосверлящие шурупы оцинкованные, окрашенные согласно RAL по металлу</t>
  </si>
  <si>
    <r>
      <t>Кол-во  м</t>
    </r>
    <r>
      <rPr>
        <sz val="6.5"/>
        <color indexed="8"/>
        <rFont val="Arial"/>
        <family val="2"/>
        <charset val="204"/>
      </rPr>
      <t>²</t>
    </r>
    <r>
      <rPr>
        <i/>
        <sz val="6.5"/>
        <color indexed="8"/>
        <rFont val="Arial Cyr"/>
        <charset val="204"/>
      </rPr>
      <t xml:space="preserve">  в уп </t>
    </r>
  </si>
  <si>
    <r>
      <t xml:space="preserve">Теплопроводность
Вт/м х </t>
    </r>
    <r>
      <rPr>
        <sz val="6.5"/>
        <color indexed="8"/>
        <rFont val="Arial"/>
        <family val="2"/>
        <charset val="204"/>
      </rPr>
      <t>°</t>
    </r>
    <r>
      <rPr>
        <i/>
        <sz val="6.5"/>
        <color indexed="8"/>
        <rFont val="Arial Cyr"/>
        <charset val="204"/>
      </rPr>
      <t xml:space="preserve">С </t>
    </r>
    <r>
      <rPr>
        <sz val="6.5"/>
        <color indexed="8"/>
        <rFont val="Calibri"/>
        <family val="2"/>
        <charset val="204"/>
      </rPr>
      <t>ʎ</t>
    </r>
  </si>
  <si>
    <t>Цена за м2 грн с НДС</t>
  </si>
  <si>
    <t>Уплотнители</t>
  </si>
  <si>
    <t>Отпуск уплотнителя универсального производится  в упаковках по 10шт, Отпуск уплотнителя под МЧ производится только в комплекте КР+КН</t>
  </si>
  <si>
    <t>Цена грн. с НДС
за комплект</t>
  </si>
  <si>
    <t xml:space="preserve">Колено 80-45 графит        </t>
  </si>
  <si>
    <t xml:space="preserve">Колено 80-67  графит              </t>
  </si>
  <si>
    <t xml:space="preserve">Колено 80-87 Графит             </t>
  </si>
  <si>
    <t>Сварочные электроды 
(Монолит, Патон, БаДМ Днепропетровск)</t>
  </si>
  <si>
    <t xml:space="preserve">Цена с НДС
за упаковку </t>
  </si>
  <si>
    <t>Электроды Монолит РЦ 3мм 2,5 кг/уп.</t>
  </si>
  <si>
    <t>Электроды Патон АНО-21 3мм 5кг./уп.</t>
  </si>
  <si>
    <t>ЭлектродыАНО-21 3мм БаДМ 5 кг./уп.</t>
  </si>
  <si>
    <t>склад- г. Киев Металобаза ВСК,ВШН,ЛК</t>
  </si>
  <si>
    <t>Лента бутиловая</t>
  </si>
  <si>
    <t>Цена грн с НДС
за м/пог</t>
  </si>
  <si>
    <t xml:space="preserve">Гофикс Scala  коричневый/белый </t>
  </si>
  <si>
    <t xml:space="preserve">Желоб водосточный Scala d125 3м  коричневый/белый </t>
  </si>
  <si>
    <t xml:space="preserve">Желоб водосточный Scala d125 4м  коричневый/белый </t>
  </si>
  <si>
    <t xml:space="preserve">Колено 45 град. Scala d80  коричневый/белый </t>
  </si>
  <si>
    <t xml:space="preserve">Колено 67 град. Scala d80 коричневый/белый </t>
  </si>
  <si>
    <t xml:space="preserve">Колено 87 град. Scala d80  коричневый/белый </t>
  </si>
  <si>
    <t xml:space="preserve">Кронштейн желоба Scala d125 усиленный коричневый/белый </t>
  </si>
  <si>
    <t xml:space="preserve">Кронштейн желоба металлический удлиненный Scala d125  коричневый/белый </t>
  </si>
  <si>
    <t xml:space="preserve">Муфта Scala d80 коричневый/белый </t>
  </si>
  <si>
    <t xml:space="preserve">Соединитель желоба Scala d125  коричневый/белый </t>
  </si>
  <si>
    <t xml:space="preserve">Стабилизатор Scala d125  коричневый/белый </t>
  </si>
  <si>
    <t xml:space="preserve">Тройник 45 град. Scala d80  коричневый/белый </t>
  </si>
  <si>
    <t xml:space="preserve">Тройник 87 град. Scala d80 коричневый/белый </t>
  </si>
  <si>
    <t xml:space="preserve">Труба водосточная Scala d80 2,8м  коричневый/белый </t>
  </si>
  <si>
    <t xml:space="preserve">Труба водосточная Scala d80 4м  коричневый/белый </t>
  </si>
  <si>
    <t xml:space="preserve">Угол 135 град. Scala универсальный с уплотнителем  коричневый/белый </t>
  </si>
  <si>
    <t xml:space="preserve">Угол внешний 135 град. Scala d125  коричневый/белый </t>
  </si>
  <si>
    <t xml:space="preserve">Угол внутренний 135 град. Scala d125  коричневый/белый </t>
  </si>
  <si>
    <t xml:space="preserve">Водосточные системы Scala (Бельгия) </t>
  </si>
  <si>
    <t>Vulkan 180*3,0*22,23-A 30S</t>
  </si>
  <si>
    <t>Vulkan 300х3,0х32,00 мм A30S</t>
  </si>
  <si>
    <t>Софит красный,графит, зеленый,кирпичный,золотой дуб,орех,золотой орех согласововать наличие с отделом закупки!</t>
  </si>
  <si>
    <t>Цена грн с НДС
за 100 шт.
(для справки!)</t>
  </si>
  <si>
    <t>Дюбель (полипропилен) с пластмассовым гвоздем для 
(пенополистерола и екструдированного пенополистирола)</t>
  </si>
  <si>
    <t>DP-27х52</t>
  </si>
  <si>
    <t>DP-27х82</t>
  </si>
  <si>
    <t>TK-140</t>
  </si>
  <si>
    <t>TK-60</t>
  </si>
  <si>
    <t>TDM-80x40x07</t>
  </si>
  <si>
    <t>ДЮБЕЛЬ РАМНИЙ РОЗПІРНИЙ З ДОВГИМ РОЗПОРОМ З ШУРУПОМ ПІД КЛЮЧ</t>
  </si>
  <si>
    <t>KRK-M-8х80</t>
  </si>
  <si>
    <t>KRK-M-8х100</t>
  </si>
  <si>
    <t>KRK-M-8х120</t>
  </si>
  <si>
    <t>KRK-M-8х140</t>
  </si>
  <si>
    <t>KRK-M-8х160</t>
  </si>
  <si>
    <t>KRK-M-10х100</t>
  </si>
  <si>
    <t>KRK-M-10х120</t>
  </si>
  <si>
    <t>KRK-M-10х140</t>
  </si>
  <si>
    <t>KRK-M-10х160</t>
  </si>
  <si>
    <t>KRK-M-10х180</t>
  </si>
  <si>
    <t>KRK-M-10х200</t>
  </si>
  <si>
    <t>KRK-M-12х100</t>
  </si>
  <si>
    <t>KRK-M-12х120</t>
  </si>
  <si>
    <t>KRK-M-12х140</t>
  </si>
  <si>
    <t>KRK-M-12х160</t>
  </si>
  <si>
    <t>KRK-M-14х100</t>
  </si>
  <si>
    <t>KRK-M-14х120</t>
  </si>
  <si>
    <t>KRK-M-14х140</t>
  </si>
  <si>
    <t>KRK-M-14х160</t>
  </si>
  <si>
    <t>ДЮБЕЛЬ ШВИДКОГО МОНТАЖУ З ДОВГИМ РОЗПОРОМ</t>
  </si>
  <si>
    <t>SMD-M-6х60</t>
  </si>
  <si>
    <t>SMD-M-6х80</t>
  </si>
  <si>
    <t>SMD-M-8х60</t>
  </si>
  <si>
    <t>SMD-M-8х80</t>
  </si>
  <si>
    <t>SMD-M-8х100</t>
  </si>
  <si>
    <t>SMD-M-8х120</t>
  </si>
  <si>
    <t>SMD-M-10х100</t>
  </si>
  <si>
    <t>SMD-M-10х120</t>
  </si>
  <si>
    <t>SMD-M-10х140</t>
  </si>
  <si>
    <t>SMD-M-10х160</t>
  </si>
  <si>
    <t>SMD-M-10х180</t>
  </si>
  <si>
    <t>SMD-M-10х200</t>
  </si>
  <si>
    <t>SMD-M-10х220</t>
  </si>
  <si>
    <t>ДЮБЕЛЬ ШВИДКОГО МОНТАЖУ З ДОВГИМ РОЗПОРОМ З КОМІРЦЕМ</t>
  </si>
  <si>
    <t>SMDК-6х60</t>
  </si>
  <si>
    <t>SMDК-6х80</t>
  </si>
  <si>
    <t>SMDК-8х60</t>
  </si>
  <si>
    <t>SMDК-8х80</t>
  </si>
  <si>
    <t>ДЮБЕЛЬ ШВИДКОГО МОНТАЖУ</t>
  </si>
  <si>
    <t>SM-6х40</t>
  </si>
  <si>
    <t>SM-6х60</t>
  </si>
  <si>
    <t>SM-6х80</t>
  </si>
  <si>
    <t>SM-8х45</t>
  </si>
  <si>
    <t>SM-8х60</t>
  </si>
  <si>
    <t>SM-8х80</t>
  </si>
  <si>
    <t>ДЮБЕЛЬ ШВИДКОГО МОНТАЖУ З КОМІРЦЕМ</t>
  </si>
  <si>
    <t>SMK-6х40</t>
  </si>
  <si>
    <t>SMK-6х60</t>
  </si>
  <si>
    <t>SMK-6х80</t>
  </si>
  <si>
    <t>ДЮБЕЛЬ БАГАТОСТОРОННЬОГО РОЗПОРУ ПОДОВЖЕНИЙ З ШУРУПОМ З ШЕСТИГРАННОЮ ГОЛІВКОЮ</t>
  </si>
  <si>
    <t>KАХК-M-10х200</t>
  </si>
  <si>
    <t>KАХК-M-10х220</t>
  </si>
  <si>
    <t>KАХК-M-10х260</t>
  </si>
  <si>
    <t>KАХК-M-10х300</t>
  </si>
  <si>
    <t>KАХК-M-12х200</t>
  </si>
  <si>
    <t>KАХК-M-12х220</t>
  </si>
  <si>
    <t>KАХК-M-12х260</t>
  </si>
  <si>
    <t>KАХК-M-12х300</t>
  </si>
  <si>
    <t>KАХК-M-14х180</t>
  </si>
  <si>
    <t>KАХК-M-14х200</t>
  </si>
  <si>
    <t>KАХК-M-14х220</t>
  </si>
  <si>
    <t>KАХК-M-14х260</t>
  </si>
  <si>
    <t>KАХК-M-14х300</t>
  </si>
  <si>
    <t>САМОНАРІЗ ПО МЕТАЛУ ДЛЯ КРІПЛЕННЯ СЕНДВІЧ-ПАНЕЛЕЙ</t>
  </si>
  <si>
    <t>5х5\6,3х90</t>
  </si>
  <si>
    <t>5,5\6,3х110</t>
  </si>
  <si>
    <t>5,5\6,3х125</t>
  </si>
  <si>
    <t>5,5\6,3х150</t>
  </si>
  <si>
    <t>5,5\6,3х175</t>
  </si>
  <si>
    <t>5,5\6,3х200</t>
  </si>
  <si>
    <t>5,5\6,3х230</t>
  </si>
  <si>
    <t>5,5\6,3х250</t>
  </si>
  <si>
    <t>ЗАКЛЕПКА ВИТЯЖНА AL/ST</t>
  </si>
  <si>
    <t>3,0х 6</t>
  </si>
  <si>
    <t>3,0х10</t>
  </si>
  <si>
    <t>4,0х 6</t>
  </si>
  <si>
    <t>4,0х 8</t>
  </si>
  <si>
    <t>4,0х10</t>
  </si>
  <si>
    <t>4,0х12</t>
  </si>
  <si>
    <t>4,0х16</t>
  </si>
  <si>
    <t>4,8х 8</t>
  </si>
  <si>
    <t>4,8х10</t>
  </si>
  <si>
    <t>4,8х12</t>
  </si>
  <si>
    <t>4,8х14</t>
  </si>
  <si>
    <t>4,8х16</t>
  </si>
  <si>
    <t>5,0х12</t>
  </si>
  <si>
    <t>САМОНАРІЗ З ПРЕСШАЙБОЮ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</si>
  <si>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</si>
  <si>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</si>
  <si>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</si>
  <si>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</si>
  <si>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</si>
  <si>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</si>
  <si>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</si>
  <si>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</si>
  <si>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САМОНАРІЗ З ПРЕСШАЙБОЮ З БУРОМ</t>
  </si>
  <si>
    <t xml:space="preserve">САМОНАРІЗ ГІПСОКАРТОННИЙ ПО ДЕРЕВУ  </t>
  </si>
  <si>
    <t>3,5х25</t>
  </si>
  <si>
    <t>3,5х35</t>
  </si>
  <si>
    <t>3.5х45</t>
  </si>
  <si>
    <t>3,5х51</t>
  </si>
  <si>
    <t>3,5х55</t>
  </si>
  <si>
    <t>3,9х60</t>
  </si>
  <si>
    <t>3,9х65</t>
  </si>
  <si>
    <t>4,2х70</t>
  </si>
  <si>
    <t>4,2х76</t>
  </si>
  <si>
    <t>4,2х90</t>
  </si>
  <si>
    <t>4,8х96</t>
  </si>
  <si>
    <t>4,8х102</t>
  </si>
  <si>
    <t>4,8х120</t>
  </si>
  <si>
    <t>4,8х125</t>
  </si>
  <si>
    <t>4,8х152</t>
  </si>
  <si>
    <t>САМОНАРІЗ "ТЕХ"</t>
  </si>
  <si>
    <t>3,5х9,5</t>
  </si>
  <si>
    <t>3,9х11</t>
  </si>
  <si>
    <t>Анкер для рам O 10x072 (100/20) [К1]</t>
  </si>
  <si>
    <t>Анкер для рам O 10x092 (100/20) [К1]</t>
  </si>
  <si>
    <t>Анкер для рам O 10x112 (100/20) [К1]</t>
  </si>
  <si>
    <t>Анкер для рам O 10x132 (100/20) [К1]</t>
  </si>
  <si>
    <t>Анкер для рам O 10x152 (100/20) [К1]</t>
  </si>
  <si>
    <t>Анкер для рам O 10x182 (50/10) [К1]</t>
  </si>
  <si>
    <t>Анкер для рам O 10x202 (50/10) [К1]</t>
  </si>
  <si>
    <t>Анкер для середніх навантажень KT-08040 (100/20) [К1]</t>
  </si>
  <si>
    <t>Анкер для середніх навантажень KT-08065 (100/20) [К1]</t>
  </si>
  <si>
    <t>Анкер для середніх навантажень KT-08085 (100/20) [К1]</t>
  </si>
  <si>
    <t>Анкер для середніх навантажень KT-10050 (50/10) [К1]</t>
  </si>
  <si>
    <t>Анкер для середніх навантажень KT-10080 (50/10) [К1]</t>
  </si>
  <si>
    <t>Анкер для середніх навантажень KT-10100 (50/10) [К1]</t>
  </si>
  <si>
    <t>Анкер для середніх навантажень KT-10125 (50/10) [К1]</t>
  </si>
  <si>
    <t>Анкер для середніх навантажень KT-12075 (50/10) [К1]</t>
  </si>
  <si>
    <t>Анкер для середніх навантажень KT-12100 (25/5) [К1]</t>
  </si>
  <si>
    <t>Анкер для середніх навантажень KT-12130 (25/5) [К1]</t>
  </si>
  <si>
    <t>Болт М06х 12 шест./гл. пов./різ. ЦБ кл.5.8 DIN 933 (200) [К1]</t>
  </si>
  <si>
    <t>Болт М06х 16 шест./гл. пов./різ. ЦБ кл.5.8 DIN 933 (200) [К1]</t>
  </si>
  <si>
    <t>Болт М06х 20 шест./гл. пов./різ. ЦБ кл.5.8 DIN 933 (200) [К1]</t>
  </si>
  <si>
    <t>Болт М06х 25 шест./гл. пов./різ. ЦБ кл.5.8 DIN 933 (200) [К1]</t>
  </si>
  <si>
    <t>Болт М06х 30 шест./гл. пов./різ. ЦБ кл.5.8 DIN 933 (100) [К1]</t>
  </si>
  <si>
    <t>Болт М06х 35 шест./гл. пов./різ. ЦБ кл.5.8 DIN 933 (100) [К1]</t>
  </si>
  <si>
    <t>Болт М06х 40 шест./гл. пов./різ. ЦБ кл.5.8 DIN 933 (100) [К1]</t>
  </si>
  <si>
    <t>Болт М06х 50 шест./гл. пов./різ. ЦБ кл.5.8 DIN 933 (50) [К1]</t>
  </si>
  <si>
    <t>Болт М06х 60 шест./гл. пов./різ. ЦБ кл.5.8 DIN 933 (100) [К1]</t>
  </si>
  <si>
    <t>Болт М08х 16 шест./гл. пов./різ. ЦБ кл.5.8 DIN 933 (100) [К1]</t>
  </si>
  <si>
    <t>Болт М08х 20 шест./гл. пов./різ. ЦБ кл.5.8 DIN 933 (100) [К1]</t>
  </si>
  <si>
    <t>Болт М08х 25 шест./гл. пов./різ. ЦБ кл.5.8 DIN 933 (100) [К1]</t>
  </si>
  <si>
    <t>Болт М08х 30 шест./гл. пов./різ. ЦБ кл.5.8 DIN 933 (50) [К1]</t>
  </si>
  <si>
    <t>Болт М08х 40 шест./гл. пов./різ. ЦБ кл.5.8 DIN 933 (50) [К1]</t>
  </si>
  <si>
    <t>Болт М08х 50 шест./гл. пов./різ. ЦБ кл.5.8 DIN 933 (50) [К1]</t>
  </si>
  <si>
    <t>Болт М08х 60 шест./гл. пов./різ. ЦБ кл.5.8 DIN 933 (40) [К1]</t>
  </si>
  <si>
    <t>Болт М08х 70 шест./гл. пов./різ. ЦБ кл.5.8 DIN 933 (40) [К1]</t>
  </si>
  <si>
    <t>Болт М08х 80 шест./гл. пов./різ. ЦБ кл.5.8 DIN 933 (40) [К1]</t>
  </si>
  <si>
    <t>Болт М08х 90 шест./гл. пов./різ. ЦБ кл.5.8 DIN 933 (25) [К1]</t>
  </si>
  <si>
    <t>Болт М08х100 шест./гл. пов./різ. ЦБ кл.5.8 DIN 933 (20) [К1]</t>
  </si>
  <si>
    <t>Болт М10х 20 шест./гл. пов./різ. ЦБ кл.5.8 DIN 933 (20) [К1]</t>
  </si>
  <si>
    <t>Болт М10х 25 шест./гл. пов./різ. ЦБ кл.5.8 DIN 933 (50) [К1]</t>
  </si>
  <si>
    <t>Болт М10х 30 шест./гл. пов./різ. ЦБ кл.5.8 DIN 933 (40) [К1]</t>
  </si>
  <si>
    <t>Болт М10х 35 шест./гл. пов./різ. ЦБ кл.5.8 DIN 933 (40) [К1]</t>
  </si>
  <si>
    <t>Болт М10х 40 шест./гл. пов./різ. ЦБ кл.5.8 DIN 933 (40) [К1]</t>
  </si>
  <si>
    <t>Болт М10х 50 шест./гл. пов./різ. ЦБ кл.5.8 DIN 933 (25) [К1]</t>
  </si>
  <si>
    <t>Болт М10х 60 шест./гл. пов./різ. ЦБ кл.5.8 DIN 933 (25) [К1]</t>
  </si>
  <si>
    <t>Болт М10х 70 шест./гл. пов./різ. ЦБ кл.5.8 DIN 933 (25) [К1]</t>
  </si>
  <si>
    <t>Болт М10х 80 шест./гл. пов./різ. ЦБ кл.5.8 DIN 933 (25) [К1]</t>
  </si>
  <si>
    <t>Болт М12х 30 шест./гл. пов./різ. ЦБ кл.5.8 DIN 933 (25) [К1]</t>
  </si>
  <si>
    <t>Болт М12х 40 шест./гл. пов./різ. ЦБ кл.5.8 DIN 933 (20) [К1]</t>
  </si>
  <si>
    <t>Болт М12х 50 шест./гл. пов./різ. ЦБ кл.5.8 DIN 933 (20) [К1]</t>
  </si>
  <si>
    <t>Болт М12х 70 шест./гл. пов./різ. ЦБ кл.5.8 DIN 933 (10) [К1]</t>
  </si>
  <si>
    <t>Болт М12х 80 шест./гл. пов./різ. ЦБ кл.5.8 DIN 933 (10) [К1]</t>
  </si>
  <si>
    <t>Болт М12х100 шест./гл. пов./різ. ЦБ кл.5.8 DIN 933 (10) [К1]</t>
  </si>
  <si>
    <t>Шпилька "під ключ" комбінована Д-М  8х 80 (50) [К1]</t>
  </si>
  <si>
    <t>Шпилька "під ключ" комбінована Д-М  8х100 (20) [К1]</t>
  </si>
  <si>
    <t>Шпилька "під ключ" комбінована Д-М  8х120 (20) [К1]</t>
  </si>
  <si>
    <t>Шпилька будівельна  08 1000 ЦБ кл.4.8 DIN 975 (50) [К1]</t>
  </si>
  <si>
    <t>Шпилька будівельна  10 1000 ЦБ кл.4.8 DIN 975 (25) [К1]</t>
  </si>
  <si>
    <t>Шпилька будівельна  12 1000 ЦБ кл.4.8 DIN 975 (20) [К1]</t>
  </si>
  <si>
    <t>Шпилька будівельна  14 1000 ЦБ кл.4.8 DIN 975 (20) [К1]</t>
  </si>
  <si>
    <t>Шпилька будівельна  16 1000 ЦБ кл.4.8 DIN 975 (10) [К1]</t>
  </si>
  <si>
    <t>Шпилька будівельна 08 2000 ЦБ кл.4.8 DIN 975 (25) [К1]</t>
  </si>
  <si>
    <t>Шпилька будівельна 10 2000 ЦБ кл.4.8 DIN 975 (25) [К1]</t>
  </si>
  <si>
    <t>Шпилька будівельна 12 2000 ЦБ кл.4.8 DIN 975 (10) [К1]</t>
  </si>
  <si>
    <t>Шайба Ф  6  ЦБ DIN 125 (1000) [К1]</t>
  </si>
  <si>
    <t>Шайба Ф  8  ЦБ DIN 125 (500) [К1]</t>
  </si>
  <si>
    <t>Шайба Ф 10  ЦБ DIN 125 (200) [К1]</t>
  </si>
  <si>
    <t>Шайба Ф 12  ЦБ DIN 125 (200) [К1]</t>
  </si>
  <si>
    <t>Шайба Ф 16  ЦБ DIN 125 (100) [К1]</t>
  </si>
  <si>
    <t>Шайба Ф 20  ЦБ DIN 125 (60) [К1]</t>
  </si>
  <si>
    <t>Шайба збільшена Ф  5 (14мм)  ЦБ DIN 9021 (1000) [К1]</t>
  </si>
  <si>
    <t>Шайба збільшена Ф  6 (18мм)  ЦБ DIN 9021 (400) [К1]</t>
  </si>
  <si>
    <t>Шайба збільшена Ф  8 (24мм)  ЦБ DIN 9021 (200) [К1]</t>
  </si>
  <si>
    <t>Шайба збільшена Ф 10 (28мм)  ЦБ DIN 9021 (100) [К1]</t>
  </si>
  <si>
    <t>Шайба збільшена Ф 12 (34мм)  ЦБ DIN 9021 (50) [К1]</t>
  </si>
  <si>
    <t>Шайба збільшена Ф 14 (45мм)  ЦБ DIN 9021 (30) [К1]</t>
  </si>
  <si>
    <t>Шайба збільшена Ф 16 (45мм)  ЦБ DIN 9021 (20) [К1]</t>
  </si>
  <si>
    <t>Шайба збільшена Ф 20 (60мм)  ЦБ DIN 9021 (10) [К1]</t>
  </si>
  <si>
    <t>Шайба для дер. кон. Ф  6 (22мм)  ЦБ DIN 440 (250) [К1]</t>
  </si>
  <si>
    <t>Шайба для дер. кон. Ф  8 (28мм)  ЦБ DIN 440 (100) [К1]</t>
  </si>
  <si>
    <t>Шайба для дер. кон. Ф 10 (34мм)  ЦБ DIN 440 (100) [К1]</t>
  </si>
  <si>
    <t>Шайба для дер. кон. Ф 12 (45мм)  ЦБ DIN 440 (50) [К1]</t>
  </si>
  <si>
    <t>Шайба гровер Ф  8  ЦБ DIN 127 (500) [К1]</t>
  </si>
  <si>
    <t>Шайба гровер Ф 10  ЦБ DIN 127 (400) [К1]</t>
  </si>
  <si>
    <t>Шайба гровер Ф 12  ЦБ DIN 127 (200) [К1]</t>
  </si>
  <si>
    <t>Гайка М  4  ЦБ кл. 5 DIN 934 (1000) [К1]</t>
  </si>
  <si>
    <t>Гайка М  5  ЦБ кл. 5 DIN 934 (500) [К1]</t>
  </si>
  <si>
    <t>Гайка М  6  ЦБ кл. 5 DIN 934 (500) [К1]</t>
  </si>
  <si>
    <t>Гайка М  8  ЦБ кл. 5 DIN 934 (200) [К1]</t>
  </si>
  <si>
    <t>Гайка М 10  ЦБ кл. 5 DIN 934 (100) [К1]</t>
  </si>
  <si>
    <t>Гайка М 12  ЦБ кл. 5 DIN 934 (50) [К1]</t>
  </si>
  <si>
    <t>Гайка М 14  ЦБ кл. 5 DIN 934 (40) [К1]</t>
  </si>
  <si>
    <t>Гайка М 16  ЦБ кл. 5 DIN 934 (20) [К1]</t>
  </si>
  <si>
    <t>Гайка М 20  ЦБ кл. 5 DIN 934 (10) [К1]</t>
  </si>
  <si>
    <t>Гайка М 24  ЦБ кл. 5 DIN 934 (10) [К1]</t>
  </si>
  <si>
    <t>Гайка М 30  ЦБ кл. 5 DIN 934 (6) [К1]</t>
  </si>
  <si>
    <t>Гайка самоконтр. М  6  ЦБ DIN 985 (500) [К1]</t>
  </si>
  <si>
    <t>Гайка самоконтр. М  8  ЦБ DIN 985 (200) [К1]</t>
  </si>
  <si>
    <t>Гайка самоконтр. М 10  ЦБ DIN 985 (100) [К1]</t>
  </si>
  <si>
    <t>Гайка самоконтр. М 12  ЦБ DIN 985 (60) [К1]</t>
  </si>
  <si>
    <t>Анкер для кріплення рам O</t>
  </si>
  <si>
    <t>Анкер для середніх навантажень KT</t>
  </si>
  <si>
    <t>ДЮБЕЛЬ ТИПУ DRIVA ФАСАДНЫЙ</t>
  </si>
  <si>
    <t>ТАРЕЛКА ВСПОМОГАТЕЛЬНАЯ ДЛЯ КРЕПЛЕНИЯ МИНВАТЫ</t>
  </si>
  <si>
    <t>ТАРЕЛКА ВСПОМОГАТЕЛЬНАЯ ДЛЯ КРЕПЛЕНИЯ ИЗОЛ. МАТЕРИАЛОВ ОВАЛЬНАЯ</t>
  </si>
  <si>
    <t xml:space="preserve">Болт М шестигран. з пов./різ. ЦБ кл.5.8 DIN 933 </t>
  </si>
  <si>
    <t>Шпилька комбінована з різьбою дер./метр. під ключ</t>
  </si>
  <si>
    <t>Шпилька будівельна 1000 мм ЦБ кл.4,8 DIN 975</t>
  </si>
  <si>
    <t>Шпилька будівельна 2000 мм ЦБ кл.4,8 DIN 975</t>
  </si>
  <si>
    <t>Шайба ЦБ DIN 125 (шт)</t>
  </si>
  <si>
    <t>Шайба збільшена ЦБ DIN 9021 (шт)</t>
  </si>
  <si>
    <t>Шайба для дерев'яних конструкцій ЦБ DIN 440 (шт)</t>
  </si>
  <si>
    <t>Шайба гровер ЦБ DIN 127 (шт)</t>
  </si>
  <si>
    <t xml:space="preserve"> Гайка ЦБ кл. 5 DIN 934 (шт)</t>
  </si>
  <si>
    <t>Гайка самоконтруюча ЦБ DIN 985 (шт)</t>
  </si>
  <si>
    <t>под заказ 4 дня</t>
  </si>
  <si>
    <t xml:space="preserve">Заглушка желоба левая/правая/универсальная Scala d125  коричневый/белый </t>
  </si>
  <si>
    <t xml:space="preserve">Залушка левая/правая G-125 графит  </t>
  </si>
  <si>
    <t>Поставщики</t>
  </si>
  <si>
    <t>Вход</t>
  </si>
  <si>
    <t>Фолиарекс</t>
  </si>
  <si>
    <r>
      <rPr>
        <b/>
        <i/>
        <sz val="7"/>
        <rFont val="Arial Cyr"/>
        <charset val="204"/>
      </rPr>
      <t>коричневый</t>
    </r>
    <r>
      <rPr>
        <i/>
        <sz val="7"/>
        <rFont val="Arial Cyr"/>
        <charset val="204"/>
      </rPr>
      <t>, красный, графит, зеленый, кирпичный (1,12 м.кв.)</t>
    </r>
  </si>
  <si>
    <r>
      <rPr>
        <b/>
        <i/>
        <sz val="7"/>
        <rFont val="Arial Cyr"/>
        <charset val="204"/>
      </rPr>
      <t>золотой дуб</t>
    </r>
    <r>
      <rPr>
        <i/>
        <sz val="7"/>
        <rFont val="Arial Cyr"/>
        <charset val="204"/>
      </rPr>
      <t>, орех,золотой орех    (1,12 м.кв.)</t>
    </r>
  </si>
  <si>
    <t>белый    (1,12 м.кв.)</t>
  </si>
  <si>
    <t>СКБ НТС</t>
  </si>
  <si>
    <t>Евровент</t>
  </si>
  <si>
    <t>Сопромат</t>
  </si>
  <si>
    <t>Будмакс</t>
  </si>
  <si>
    <t>Завод до 20.03</t>
  </si>
  <si>
    <t>Примечание: Отпуск утеплителей производится в м/кв   ПРОДАЖА ПРОДУКЦИИ ТОЛЬКО КРАТНО УПАКОВКИ ИЛИ РУЛОНУ!</t>
  </si>
  <si>
    <t>Изобуд</t>
  </si>
  <si>
    <t>Юта</t>
  </si>
  <si>
    <t>Мастерпласт</t>
  </si>
  <si>
    <t>Будсервис</t>
  </si>
  <si>
    <t>винскиф</t>
  </si>
  <si>
    <t>цена за рул</t>
  </si>
  <si>
    <t>м.к.в</t>
  </si>
  <si>
    <t>Фолиарекс (контрабасом со львова только за нал.)</t>
  </si>
  <si>
    <t>Вин-Скиф</t>
  </si>
  <si>
    <t>24% дилер</t>
  </si>
  <si>
    <t>маржа</t>
  </si>
  <si>
    <t>дилер</t>
  </si>
  <si>
    <t>розн</t>
  </si>
  <si>
    <t>Анкора (Гунебо)</t>
  </si>
  <si>
    <t>Амекс</t>
  </si>
  <si>
    <t>Кельнер</t>
  </si>
  <si>
    <t>Икс-Тех</t>
  </si>
  <si>
    <t>СМК</t>
  </si>
  <si>
    <t>Солди</t>
  </si>
  <si>
    <t>КрепТех</t>
  </si>
  <si>
    <t>Буд-Сервис</t>
  </si>
  <si>
    <t>159 б/ш</t>
  </si>
  <si>
    <t>дил</t>
  </si>
  <si>
    <t>вход</t>
  </si>
  <si>
    <t>Цена из 1С</t>
  </si>
  <si>
    <t xml:space="preserve">Воронка центр G-125 графит          </t>
  </si>
  <si>
    <t xml:space="preserve">Воронка центр Scala d125 коричневый/ белый </t>
  </si>
  <si>
    <t xml:space="preserve">Воронка левая/правая G-125 графит          </t>
  </si>
  <si>
    <t xml:space="preserve">Воронка левая/правая Scala d125 коричневый/ белый </t>
  </si>
  <si>
    <t>бел</t>
  </si>
  <si>
    <t>кор</t>
  </si>
  <si>
    <t>дуб</t>
  </si>
  <si>
    <t>Mембрана Strotex 1300 Basic</t>
  </si>
  <si>
    <t>беж</t>
  </si>
  <si>
    <t>плановая</t>
  </si>
  <si>
    <t>Лента Бутиловая</t>
  </si>
  <si>
    <t>Ед. изм</t>
  </si>
  <si>
    <t xml:space="preserve">BRYZA 75 </t>
  </si>
  <si>
    <t>BRYZA 100</t>
  </si>
  <si>
    <t>BRYZA 125</t>
  </si>
  <si>
    <t>BRYZA 150</t>
  </si>
  <si>
    <t>желоб d=75 мм                    труба d=63 мм</t>
  </si>
  <si>
    <t>желоб d=100 мм                труба d=90 мм</t>
  </si>
  <si>
    <t>желоб d=125 мм                                        труба d=90 мм</t>
  </si>
  <si>
    <t>желоб d=150 мм            труба d=110 мм</t>
  </si>
  <si>
    <t>Желоб 3м</t>
  </si>
  <si>
    <t>шт.</t>
  </si>
  <si>
    <t>Муфта желоба</t>
  </si>
  <si>
    <t>Воронка сливная</t>
  </si>
  <si>
    <t>Угол внешний/внутренний 90 гр.</t>
  </si>
  <si>
    <t>Угол любой (под заказ)</t>
  </si>
  <si>
    <t>Держатель желоба ПВХ</t>
  </si>
  <si>
    <t>Держатель желоба металл прямой</t>
  </si>
  <si>
    <t>Держатель желоба металл боковой</t>
  </si>
  <si>
    <t>Заглушка желоба правая/левая</t>
  </si>
  <si>
    <t>Труба водосточная 3м</t>
  </si>
  <si>
    <t>Муфта трубы</t>
  </si>
  <si>
    <t>Колено</t>
  </si>
  <si>
    <t>Хомут трубы</t>
  </si>
  <si>
    <t>Тройник</t>
  </si>
  <si>
    <t>Переходник 110/90 мм</t>
  </si>
  <si>
    <t>Люк для чистки 110 мм</t>
  </si>
  <si>
    <t>Крюк хомута металлический 120 мм</t>
  </si>
  <si>
    <t>Крюк хомута металлический 160 мм</t>
  </si>
  <si>
    <t>Крюк хомута металлический 180 мм</t>
  </si>
  <si>
    <t>по запросу</t>
  </si>
  <si>
    <t>Оглавление</t>
  </si>
  <si>
    <t>Утеплители</t>
  </si>
  <si>
    <t>Пленки, ленты, мембраны</t>
  </si>
  <si>
    <t>ОСБ 3</t>
  </si>
  <si>
    <t>Крепеж</t>
  </si>
  <si>
    <t>Водосток Scala</t>
  </si>
  <si>
    <t>Водосток Bryza</t>
  </si>
  <si>
    <t>VELUX</t>
  </si>
  <si>
    <t>FAKRO</t>
  </si>
  <si>
    <t>Краски</t>
  </si>
  <si>
    <t>Софиты</t>
  </si>
  <si>
    <t>Электроды, круги</t>
  </si>
  <si>
    <t>стоимость 1 с</t>
  </si>
  <si>
    <t>рыночная</t>
  </si>
  <si>
    <t>1 с стоимость</t>
  </si>
  <si>
    <t>дилерская</t>
  </si>
  <si>
    <t>розница новый</t>
  </si>
  <si>
    <t>разница</t>
  </si>
  <si>
    <t>диллерская сейчас тру</t>
  </si>
  <si>
    <t>диллер расчетная</t>
  </si>
  <si>
    <t>диллер</t>
  </si>
  <si>
    <t>из 1 с</t>
  </si>
  <si>
    <t>прайс</t>
  </si>
  <si>
    <t>1 с</t>
  </si>
  <si>
    <t>Bryza125</t>
  </si>
  <si>
    <t>прайсовая новая - 5 проц минус от прайсовой</t>
  </si>
  <si>
    <t>минс 10 вход бриза</t>
  </si>
  <si>
    <t>прайсовая нью</t>
  </si>
  <si>
    <t>дилерская нью</t>
  </si>
  <si>
    <t>плановая нью</t>
  </si>
  <si>
    <t>разница плановой нью</t>
  </si>
  <si>
    <t>прайсовая</t>
  </si>
  <si>
    <t>разница плановой</t>
  </si>
  <si>
    <t>диллер нью</t>
  </si>
  <si>
    <t>дилерская олд</t>
  </si>
  <si>
    <t>плановая -1с</t>
  </si>
  <si>
    <t>для подбора прайсовой</t>
  </si>
  <si>
    <t>прайс+47</t>
  </si>
  <si>
    <t>вход+2грн</t>
  </si>
  <si>
    <t>плановая +15 проц</t>
  </si>
  <si>
    <t>Бриза</t>
  </si>
  <si>
    <t>скала разница с Бризой</t>
  </si>
  <si>
    <t>грн</t>
  </si>
  <si>
    <t>%</t>
  </si>
  <si>
    <t>Длина, м</t>
  </si>
  <si>
    <t>Кол-во м в рулоне</t>
  </si>
  <si>
    <t>1с</t>
  </si>
  <si>
    <t>розница скала</t>
  </si>
  <si>
    <t>розница бриза</t>
  </si>
  <si>
    <t>диллер скала</t>
  </si>
  <si>
    <t>плановая скала</t>
  </si>
  <si>
    <t>белая</t>
  </si>
  <si>
    <t>корич</t>
  </si>
  <si>
    <t>графит</t>
  </si>
  <si>
    <t>итог</t>
  </si>
  <si>
    <t>коричневая</t>
  </si>
  <si>
    <t>минус 15</t>
  </si>
  <si>
    <t>минус 24</t>
  </si>
  <si>
    <t>минус 10</t>
  </si>
  <si>
    <t xml:space="preserve">BRYZA 75
белый  коричневый  красный  графит   зеленый    кирпичный </t>
  </si>
  <si>
    <t>BRYZA 100
белый  коричневый  красный  графит</t>
  </si>
  <si>
    <t>BRYZA 125
белый  коричневый  красный  графит   зеленый  кирпичный</t>
  </si>
  <si>
    <t>BRYZA 125
медный</t>
  </si>
  <si>
    <t>BRYZA 150
белый  коричневый  красный  графит</t>
  </si>
  <si>
    <t>Водосточные системы Bryza</t>
  </si>
  <si>
    <t xml:space="preserve"> </t>
  </si>
  <si>
    <t>вход -43 от прайса бризы</t>
  </si>
  <si>
    <t>розница+47</t>
  </si>
  <si>
    <t>диллерская-24</t>
  </si>
  <si>
    <t>цена из программы</t>
  </si>
  <si>
    <t>плановая -12</t>
  </si>
  <si>
    <t xml:space="preserve">прайс </t>
  </si>
  <si>
    <t xml:space="preserve">диллер - 35 </t>
  </si>
  <si>
    <t>вход 14.10 - 40 прайс</t>
  </si>
  <si>
    <t>диллерская -35</t>
  </si>
  <si>
    <t>заработок 30 про скидка-13 про, 35 проц скидки - 5 проц</t>
  </si>
  <si>
    <t>розница</t>
  </si>
  <si>
    <t>диллерская</t>
  </si>
  <si>
    <t xml:space="preserve">Держатель трубы  Scala d80  коричневый/белый </t>
  </si>
  <si>
    <t xml:space="preserve">Кронштейн желоба Scala d125 коричневый/белый </t>
  </si>
  <si>
    <t xml:space="preserve">Угол внешний+внутр Scala d125 универсальный с уплотнителем(без уплотнителя)  коричневый/белый </t>
  </si>
  <si>
    <t xml:space="preserve">Держатель трубы Scala 80 графит    </t>
  </si>
  <si>
    <t xml:space="preserve">ЖелобG-125  3M графит </t>
  </si>
  <si>
    <t xml:space="preserve">ЖелобG-125  4M графит </t>
  </si>
  <si>
    <t xml:space="preserve">Муфта Scala d80  графит             </t>
  </si>
  <si>
    <t xml:space="preserve">Соеденитель желоба Scalad125 графит     </t>
  </si>
  <si>
    <t>Труба водосточная Scala d80 3M графит</t>
  </si>
  <si>
    <t>Труба водосточная Scala d80 4M графит</t>
  </si>
  <si>
    <t>Утеплители Технониколь Каменная вата(Официальный диллер)</t>
  </si>
  <si>
    <t>Паробарьер 96сильвер (плотность 45-55 г/м.кв)</t>
  </si>
  <si>
    <t>Гидробарьер- 96 сильвер (плотность 45-55 г/м.кв)</t>
  </si>
  <si>
    <t>Гидробарьер100 прозрачный/желтый армированный (плотность 45-55 г/м.кв)</t>
  </si>
  <si>
    <t>Гидробарьер-100 сильвер (плотность 80-90 г/м.кв)</t>
  </si>
  <si>
    <t>Паробарьер 100сильвер (плотность 80-90 г/м.кв)</t>
  </si>
  <si>
    <t>рорзница</t>
  </si>
  <si>
    <t>сопромат</t>
  </si>
  <si>
    <t>будмакс</t>
  </si>
  <si>
    <t>розничная</t>
  </si>
  <si>
    <t>плановая +3проц</t>
  </si>
  <si>
    <t>розн план</t>
  </si>
  <si>
    <t>диллер пл</t>
  </si>
  <si>
    <t>вход-40</t>
  </si>
  <si>
    <t>NEWTON полумат</t>
  </si>
  <si>
    <t>DECO DACH, NEWTON - краска для реставрирования кровельных покрытий, покрашенных полиэстровыми, полиуретановыми красками, покрытой пластизолем, пластиком PCV, PVF2, а также методом коилкоатинга.  Краски безопасны для окружающей среды. Не содержат толуола.</t>
  </si>
  <si>
    <t>RAL 1015, 3011, 8017, 9006</t>
  </si>
  <si>
    <t>DECO DACH by DECO COLOR® спрей, NEWTON</t>
  </si>
  <si>
    <t>Mембрана МАРМА</t>
  </si>
  <si>
    <t>Угол внешний+внутр Scala d125 универсальный с уплотнителем(без уплотнителя)  графит</t>
  </si>
  <si>
    <t>вход +3 процента 20500 дост</t>
  </si>
  <si>
    <t>вход 1с</t>
  </si>
  <si>
    <t>диллер 6 проц</t>
  </si>
  <si>
    <t>KRONOSPAN Belorussia</t>
  </si>
  <si>
    <t>под заказ</t>
  </si>
  <si>
    <t>EGGER  ROMANIA</t>
  </si>
  <si>
    <t>KRONOSPAN ROMANIA</t>
  </si>
  <si>
    <t>распродажа*</t>
  </si>
  <si>
    <t>АКЦИОННАЯ ЦЕНА со склада с НДС (на акционную цену скидки не распространяються)</t>
  </si>
  <si>
    <t>* - наличие на складе, уточняйте у менеджера</t>
  </si>
  <si>
    <t>области</t>
  </si>
  <si>
    <t>г. Киев</t>
  </si>
  <si>
    <t xml:space="preserve">Киевская, Черниговская, Сумская, Житомирская, Винницкая, Одесская,                                Кировоградская,                  Черкасская </t>
  </si>
  <si>
    <t>остальные области</t>
  </si>
  <si>
    <t xml:space="preserve">Цена грн. с НДС (самовывоз со склада)
за  лист 1250х2500 </t>
  </si>
  <si>
    <r>
      <t xml:space="preserve">Цена грн. с НДС (с доставкой)
за  лист 1250х2500 </t>
    </r>
    <r>
      <rPr>
        <b/>
        <i/>
        <sz val="8"/>
        <rFont val="Arial Cyr"/>
        <charset val="204"/>
      </rPr>
      <t xml:space="preserve">ФУРНЫМИ </t>
    </r>
    <r>
      <rPr>
        <i/>
        <sz val="7"/>
        <rFont val="Arial Cyr"/>
        <charset val="204"/>
      </rPr>
      <t>нормами                 (15 паллет)</t>
    </r>
  </si>
  <si>
    <t>рынок</t>
  </si>
  <si>
    <t>планов</t>
  </si>
  <si>
    <t>диллер 12проц</t>
  </si>
  <si>
    <t>12 проц от 1с</t>
  </si>
  <si>
    <t>будмакс 162, 167 с дост 1 палета</t>
  </si>
  <si>
    <t>расчет входа с 167</t>
  </si>
  <si>
    <t>диллер 7 проц 178,69</t>
  </si>
  <si>
    <t>ТЕПЛОРОЛ</t>
  </si>
  <si>
    <t>ТЕХНОБЛОК СТАНДАРТ</t>
  </si>
  <si>
    <t>ТЕХНОФАС ЭФФЕКТ</t>
  </si>
  <si>
    <t>фура</t>
  </si>
  <si>
    <t>АКЦИОННАЯ ЦЕНА со склада с НДС (на акционную цену скидки не распространяються), * - наличие на складе, уточняйте у менеджера</t>
  </si>
  <si>
    <t>страница</t>
  </si>
  <si>
    <t>ТЕХНОАКУСТИК</t>
  </si>
  <si>
    <t>ТЕХНОВЕНТ СТАНДАРТ</t>
  </si>
  <si>
    <r>
      <t>Кол-во  м</t>
    </r>
    <r>
      <rPr>
        <sz val="8"/>
        <rFont val="Arial"/>
        <family val="2"/>
        <charset val="204"/>
      </rPr>
      <t>²</t>
    </r>
    <r>
      <rPr>
        <i/>
        <sz val="8"/>
        <rFont val="Arial Cyr"/>
        <charset val="204"/>
      </rPr>
      <t xml:space="preserve">  в уп </t>
    </r>
  </si>
  <si>
    <r>
      <t xml:space="preserve">Теплопроводность
Вт/м х </t>
    </r>
    <r>
      <rPr>
        <sz val="8"/>
        <rFont val="Arial"/>
        <family val="2"/>
        <charset val="204"/>
      </rPr>
      <t>°</t>
    </r>
    <r>
      <rPr>
        <i/>
        <sz val="8"/>
        <rFont val="Arial Cyr"/>
        <charset val="204"/>
      </rPr>
      <t xml:space="preserve">С </t>
    </r>
    <r>
      <rPr>
        <sz val="8"/>
        <rFont val="Calibri"/>
        <family val="2"/>
        <charset val="204"/>
      </rPr>
      <t>ʎ</t>
    </r>
  </si>
  <si>
    <r>
      <rPr>
        <b/>
        <u/>
        <sz val="6.5"/>
        <rFont val="Arial Cyr"/>
        <charset val="204"/>
      </rPr>
      <t>Розничная</t>
    </r>
    <r>
      <rPr>
        <b/>
        <sz val="6.5"/>
        <rFont val="Arial Cyr"/>
        <charset val="204"/>
      </rPr>
      <t xml:space="preserve"> цена со склада г.Киев</t>
    </r>
  </si>
  <si>
    <r>
      <rPr>
        <b/>
        <u/>
        <sz val="6.5"/>
        <rFont val="Arial Cyr"/>
        <charset val="204"/>
      </rPr>
      <t>Оптовая</t>
    </r>
    <r>
      <rPr>
        <b/>
        <sz val="6.5"/>
        <rFont val="Arial Cyr"/>
        <charset val="204"/>
      </rPr>
      <t xml:space="preserve"> цена с доставкой на </t>
    </r>
    <r>
      <rPr>
        <b/>
        <u/>
        <sz val="6.5"/>
        <rFont val="Arial Cyr"/>
        <charset val="204"/>
      </rPr>
      <t>ФУРНЫЕ</t>
    </r>
    <r>
      <rPr>
        <b/>
        <sz val="6.5"/>
        <rFont val="Arial Cyr"/>
        <charset val="204"/>
      </rPr>
      <t xml:space="preserve"> нормы</t>
    </r>
  </si>
  <si>
    <t>В ассортименте имеються сендвич - панели и битумная черепица с комплектующими, данные позиции поставляються под заказ. Цену уточняйте у менеджера.</t>
  </si>
  <si>
    <t>За більш детальною інформацією та цінами звертайтесь до відділу з продажу.</t>
  </si>
  <si>
    <t>Фото</t>
  </si>
  <si>
    <t>Желоб BILKA 125/4 м</t>
  </si>
  <si>
    <t>Крюк желоба BILKA 125/210</t>
  </si>
  <si>
    <t>Крюк желоба BILKA 125/160</t>
  </si>
  <si>
    <t>Крюк желоба комбинированый BILKA 125</t>
  </si>
  <si>
    <t>Заглушка желоба универсальная с уплотнителем BILKA 125</t>
  </si>
  <si>
    <t>Муфта желоба BILKA 125</t>
  </si>
  <si>
    <t>Воронка BILKA 125/90</t>
  </si>
  <si>
    <t>Труба водосточная BILKA 90/3 м</t>
  </si>
  <si>
    <t>Труба водосточная 90/1 м BILKA (удлиняющ. сегмент)</t>
  </si>
  <si>
    <t>Держатель трубы BILKA 90</t>
  </si>
  <si>
    <t xml:space="preserve">Колено трубы BILKA 90/60 град </t>
  </si>
  <si>
    <t xml:space="preserve">Колено трубы сливное BILKA 90/60 град </t>
  </si>
  <si>
    <t>Желоб BILKA 150/4 м</t>
  </si>
  <si>
    <t>Крюк желоба BILKA 150/210</t>
  </si>
  <si>
    <t>Крюк желоба BILKA 150/160</t>
  </si>
  <si>
    <t>Крюк желоба комбинированый BILKA 150</t>
  </si>
  <si>
    <t>Заглушка желоба универсальная с уплотнителем BILKA 150</t>
  </si>
  <si>
    <t>Муфта желоба BILKA 150</t>
  </si>
  <si>
    <t>Воронка BILKA 150/100</t>
  </si>
  <si>
    <t>Угол желоба 90 град BILKA внутр/наружн 150</t>
  </si>
  <si>
    <t>Угол желоба 90 град BILKA внутр/наружн 125</t>
  </si>
  <si>
    <t>Труба водосточная BILKA 100/3 м</t>
  </si>
  <si>
    <t>Труба водосточная 100/1 м BILKA (удлиняющ. сегмент)</t>
  </si>
  <si>
    <t>Держатель трубы BILKA 100</t>
  </si>
  <si>
    <t xml:space="preserve">Колено трубы BILKA 100/60 град </t>
  </si>
  <si>
    <t xml:space="preserve">Колено трубы сливное BILKA 100/60 град </t>
  </si>
  <si>
    <t>Цена грн за 
шт с НДС</t>
  </si>
  <si>
    <t xml:space="preserve">Водосточные системы BILKA 125 система (Румыния) </t>
  </si>
  <si>
    <t xml:space="preserve">Водосточные системы BILKA 150 система (Румыния) </t>
  </si>
  <si>
    <t>розница райко</t>
  </si>
  <si>
    <t>розница акведук</t>
  </si>
  <si>
    <t>розница билко</t>
  </si>
  <si>
    <t>вход билко, евро</t>
  </si>
  <si>
    <t>вход билко, грн</t>
  </si>
  <si>
    <t>вход с 2 грн транспорт билко, грн</t>
  </si>
  <si>
    <t>скидка 20 проц макс, розничная</t>
  </si>
  <si>
    <t>скидка 35 проц макс, диллерская, вип</t>
  </si>
  <si>
    <t>35 проц акведук</t>
  </si>
  <si>
    <t>35 райко</t>
  </si>
  <si>
    <t>скидка 30 проц диллер</t>
  </si>
  <si>
    <t>наценка на скидке 35 процентов</t>
  </si>
  <si>
    <t>Водосток BILKA</t>
  </si>
  <si>
    <t>5…6</t>
  </si>
  <si>
    <t>10…11</t>
  </si>
  <si>
    <t>12…13</t>
  </si>
  <si>
    <t xml:space="preserve">                                                           Технические характеристики товара                                                                     </t>
  </si>
  <si>
    <t xml:space="preserve"> Белый </t>
  </si>
  <si>
    <t>Коричн</t>
  </si>
  <si>
    <t>Графит</t>
  </si>
  <si>
    <t>14/14/14,31</t>
  </si>
  <si>
    <t>50/49,94</t>
  </si>
  <si>
    <t xml:space="preserve">  -/14/14,29</t>
  </si>
  <si>
    <t>16/16/16</t>
  </si>
  <si>
    <t>9002, 3005, 8019 - склад г. Киев</t>
  </si>
  <si>
    <t xml:space="preserve">Кронштейн желоба G.125  графит      </t>
  </si>
  <si>
    <t>вход/плановая</t>
  </si>
  <si>
    <t>дилер -24 стар</t>
  </si>
  <si>
    <t>дилер -35 нов</t>
  </si>
  <si>
    <t>бриза -40</t>
  </si>
  <si>
    <t>скидка 40проц макс, диллерская, вип</t>
  </si>
  <si>
    <t xml:space="preserve">Цена грн за шт с НДС
</t>
  </si>
  <si>
    <t>вход -40</t>
  </si>
  <si>
    <t>плановая +3</t>
  </si>
  <si>
    <t>диллер -24</t>
  </si>
  <si>
    <t>розница +44</t>
  </si>
  <si>
    <t>диллер - 40</t>
  </si>
  <si>
    <t>изменил</t>
  </si>
  <si>
    <t>проверил</t>
  </si>
  <si>
    <t>Гидробарьер Strotex 110 PP</t>
  </si>
  <si>
    <t>Паробарьер Strotex 110 PI</t>
  </si>
  <si>
    <t>Паробарьер100 прозрачный/желтый армированный                                                        (плотность45-55 г/м.кв)</t>
  </si>
  <si>
    <t xml:space="preserve">Паробарьер 100 фольгированый </t>
  </si>
  <si>
    <t>фольгиров.</t>
  </si>
  <si>
    <t>план</t>
  </si>
  <si>
    <t>розн 46</t>
  </si>
  <si>
    <t>Уплотнитель Максима КР+КН (карниз+конёк)</t>
  </si>
  <si>
    <t xml:space="preserve"> - </t>
  </si>
  <si>
    <t>Уплотнитель для МЧ и ПН (Украина)</t>
  </si>
  <si>
    <t>Уплотнитель под профиль П-35 КР+КН (карниз+конёк)</t>
  </si>
  <si>
    <t>Уплотнитель под профиль П-44 КР+КН (карниз+конёк)</t>
  </si>
  <si>
    <t>Уплотнитель под профиль П-60 КР+КН (карниз+конёк)</t>
  </si>
  <si>
    <t>300/400</t>
  </si>
  <si>
    <t>Дилл</t>
  </si>
  <si>
    <t>Розн</t>
  </si>
  <si>
    <r>
      <t xml:space="preserve">Цена </t>
    </r>
    <r>
      <rPr>
        <i/>
        <sz val="7"/>
        <rFont val="Arial Cyr"/>
        <charset val="204"/>
      </rPr>
      <t>грн. с НДС
за  лист 1250х2500 со склада в г. Киев</t>
    </r>
  </si>
  <si>
    <t>7,1 грн</t>
  </si>
  <si>
    <t>12,4 грн</t>
  </si>
  <si>
    <t>склад г. Киев</t>
  </si>
  <si>
    <t>Комплект крепления: шпилька 8х105мм, дюбель, шайба, гайка
 Wkret-met, (гайка+шайба)</t>
  </si>
  <si>
    <t>Комплект крепления: шпилька 8х205мм, дюбель, шайба, гайка
Wkret-met, (гайка+шайба)</t>
  </si>
  <si>
    <t>Прайс-лист от 3.08.2016</t>
  </si>
  <si>
    <t>ТЕХНОЛАЙТ ЭКСТРА</t>
  </si>
  <si>
    <t>ТЕХНОЛАЙТ ОПТИМА</t>
  </si>
  <si>
    <t>RAL 3005, RAL 3009, RAL 3011, RAL 6005, RAL 7024, RAL 8004, RAL 8017, RAL 8019, RAL 9005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</si>
</sst>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\ &quot;грн.&quot;;[Red]\-#,##0.00\ &quot;грн.&quot;"/>
    <numFmt numFmtId="165" formatCode="0.000"/>
    <numFmt numFmtId="166" formatCode="#,##0.00\ [$грн.-422]"/>
    <numFmt numFmtId="167" formatCode="0.0000"/>
    <numFmt numFmtId="168" formatCode="#,##0.00\ &quot;грн.&quot;"/>
    <numFmt numFmtId="169" formatCode="#,##0.0\ &quot;грн.&quot;"/>
    <numFmt numFmtId="170" formatCode="#,##0\ &quot;грн.&quot;"/>
  </numFmts>
  <fonts count="89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b/>
      <u/>
      <sz val="8"/>
      <name val="Arial Cyr"/>
      <charset val="204"/>
    </font>
    <font>
      <b/>
      <sz val="8"/>
      <name val="Arial Cyr"/>
      <charset val="204"/>
    </font>
    <font>
      <b/>
      <sz val="7"/>
      <name val="Arial Cyr"/>
      <charset val="204"/>
    </font>
    <font>
      <i/>
      <sz val="7"/>
      <name val="Arial Cyr"/>
      <charset val="204"/>
    </font>
    <font>
      <sz val="7"/>
      <name val="Arial Cyr"/>
      <charset val="204"/>
    </font>
    <font>
      <b/>
      <u/>
      <sz val="10"/>
      <color indexed="12"/>
      <name val="Arial Cyr"/>
      <charset val="204"/>
    </font>
    <font>
      <sz val="10"/>
      <name val="Arial"/>
      <family val="2"/>
      <charset val="204"/>
    </font>
    <font>
      <b/>
      <i/>
      <sz val="12"/>
      <name val="Arial Cyr"/>
      <charset val="204"/>
    </font>
    <font>
      <b/>
      <sz val="10"/>
      <name val="Arial Cyr"/>
      <charset val="204"/>
    </font>
    <font>
      <i/>
      <sz val="6.5"/>
      <name val="Arial Cyr"/>
      <charset val="204"/>
    </font>
    <font>
      <sz val="6.5"/>
      <name val="Arial Cyr"/>
      <charset val="204"/>
    </font>
    <font>
      <b/>
      <sz val="6.5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i/>
      <sz val="7"/>
      <name val="Arial Cyr"/>
      <charset val="204"/>
    </font>
    <font>
      <u/>
      <sz val="10"/>
      <color indexed="12"/>
      <name val="Arial CE"/>
      <charset val="238"/>
    </font>
    <font>
      <b/>
      <i/>
      <sz val="8"/>
      <name val="Arial Cyr"/>
      <charset val="204"/>
    </font>
    <font>
      <sz val="6.55"/>
      <name val="Arial Cyr"/>
      <charset val="204"/>
    </font>
    <font>
      <b/>
      <i/>
      <sz val="6"/>
      <name val="Arial Cyr"/>
      <charset val="204"/>
    </font>
    <font>
      <sz val="6"/>
      <name val="Arial Cyr"/>
      <charset val="204"/>
    </font>
    <font>
      <i/>
      <sz val="6.5"/>
      <color indexed="8"/>
      <name val="Arial Cyr"/>
      <charset val="204"/>
    </font>
    <font>
      <sz val="6.5"/>
      <color indexed="8"/>
      <name val="Arial"/>
      <family val="2"/>
      <charset val="204"/>
    </font>
    <font>
      <sz val="6.5"/>
      <color indexed="8"/>
      <name val="Calibri"/>
      <family val="2"/>
      <charset val="204"/>
    </font>
    <font>
      <sz val="8"/>
      <name val="Arial"/>
      <family val="2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sz val="12"/>
      <name val="Arial"/>
      <family val="2"/>
      <charset val="204"/>
    </font>
    <font>
      <b/>
      <sz val="26"/>
      <name val="Arial"/>
      <family val="2"/>
      <charset val="204"/>
    </font>
    <font>
      <b/>
      <sz val="20"/>
      <name val="Arial"/>
      <family val="2"/>
      <charset val="204"/>
    </font>
    <font>
      <b/>
      <sz val="14"/>
      <name val="Arial"/>
      <family val="2"/>
      <charset val="204"/>
    </font>
    <font>
      <sz val="22"/>
      <name val="Arial"/>
      <family val="2"/>
      <charset val="204"/>
    </font>
    <font>
      <sz val="16"/>
      <name val="Arial"/>
      <family val="2"/>
      <charset val="204"/>
    </font>
    <font>
      <b/>
      <sz val="11"/>
      <name val="Arial Cyr"/>
      <charset val="204"/>
    </font>
    <font>
      <b/>
      <sz val="16"/>
      <name val="Arial Cyr"/>
      <charset val="204"/>
    </font>
    <font>
      <sz val="11"/>
      <color theme="1"/>
      <name val="Calibri"/>
      <family val="2"/>
      <charset val="204"/>
      <scheme val="minor"/>
    </font>
    <font>
      <sz val="6.5"/>
      <color theme="1"/>
      <name val="Arial Cyr"/>
      <charset val="204"/>
    </font>
    <font>
      <b/>
      <i/>
      <u/>
      <sz val="8"/>
      <color rgb="FFFF0000"/>
      <name val="Arial Cyr"/>
      <charset val="204"/>
    </font>
    <font>
      <b/>
      <sz val="7"/>
      <color theme="1"/>
      <name val="Arial Cyr"/>
      <charset val="204"/>
    </font>
    <font>
      <sz val="7"/>
      <color theme="1"/>
      <name val="Arial Cyr"/>
      <charset val="204"/>
    </font>
    <font>
      <b/>
      <sz val="6.5"/>
      <color rgb="FFFF0000"/>
      <name val="Arial Cyr"/>
      <charset val="204"/>
    </font>
    <font>
      <b/>
      <sz val="6.5"/>
      <color theme="1"/>
      <name val="Arial Cyr"/>
      <charset val="204"/>
    </font>
    <font>
      <i/>
      <sz val="7"/>
      <color theme="1"/>
      <name val="Arial Cyr"/>
      <charset val="204"/>
    </font>
    <font>
      <i/>
      <sz val="8"/>
      <color theme="1"/>
      <name val="Arial Cyr"/>
      <charset val="204"/>
    </font>
    <font>
      <sz val="8"/>
      <color theme="1"/>
      <name val="Arial Cyr"/>
      <charset val="204"/>
    </font>
    <font>
      <i/>
      <sz val="6.5"/>
      <color theme="1"/>
      <name val="Arial Cyr"/>
      <charset val="204"/>
    </font>
    <font>
      <b/>
      <sz val="7"/>
      <color rgb="FFFF0000"/>
      <name val="Arial Cyr"/>
      <charset val="204"/>
    </font>
    <font>
      <sz val="10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b/>
      <sz val="20"/>
      <color rgb="FFFF0000"/>
      <name val="Arial"/>
      <family val="2"/>
      <charset val="204"/>
    </font>
    <font>
      <sz val="10"/>
      <color theme="3"/>
      <name val="Arial Cyr"/>
      <charset val="204"/>
    </font>
    <font>
      <b/>
      <i/>
      <sz val="12"/>
      <color theme="1"/>
      <name val="Arial Cyr"/>
      <charset val="204"/>
    </font>
    <font>
      <b/>
      <sz val="8"/>
      <color theme="1"/>
      <name val="Arial Cyr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i/>
      <u/>
      <sz val="22"/>
      <name val="Arial"/>
      <family val="2"/>
      <charset val="204"/>
    </font>
    <font>
      <sz val="20"/>
      <name val="Arial"/>
      <family val="2"/>
      <charset val="204"/>
    </font>
    <font>
      <sz val="24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2"/>
      <name val="Arial"/>
      <family val="2"/>
      <charset val="204"/>
    </font>
    <font>
      <b/>
      <sz val="9"/>
      <color theme="1"/>
      <name val="Arial Cyr"/>
      <charset val="204"/>
    </font>
    <font>
      <sz val="16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sz val="16"/>
      <color theme="3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u/>
      <sz val="16"/>
      <color theme="3"/>
      <name val="Calibri"/>
      <family val="2"/>
      <charset val="204"/>
      <scheme val="minor"/>
    </font>
    <font>
      <i/>
      <sz val="8"/>
      <name val="Arial Cyr"/>
      <charset val="204"/>
    </font>
    <font>
      <sz val="8"/>
      <name val="Calibri"/>
      <family val="2"/>
      <charset val="204"/>
    </font>
    <font>
      <b/>
      <u/>
      <sz val="6.5"/>
      <name val="Arial Cyr"/>
      <charset val="204"/>
    </font>
    <font>
      <b/>
      <sz val="16"/>
      <color theme="1" tint="0.34998626667073579"/>
      <name val="Calibri"/>
      <family val="2"/>
      <charset val="204"/>
      <scheme val="minor"/>
    </font>
    <font>
      <b/>
      <sz val="17"/>
      <color theme="1" tint="0.34998626667073579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b/>
      <sz val="13"/>
      <color theme="1" tint="0.34998626667073579"/>
      <name val="Calibri"/>
      <family val="2"/>
      <charset val="204"/>
      <scheme val="minor"/>
    </font>
    <font>
      <i/>
      <sz val="9"/>
      <color theme="1"/>
      <name val="Arial Cyr"/>
      <charset val="204"/>
    </font>
    <font>
      <sz val="9"/>
      <color theme="1"/>
      <name val="Arial Cyr"/>
      <charset val="204"/>
    </font>
    <font>
      <b/>
      <sz val="12"/>
      <name val="Arial Cyr"/>
      <charset val="204"/>
    </font>
    <font>
      <b/>
      <sz val="16"/>
      <name val="Arial CE"/>
      <family val="2"/>
      <charset val="238"/>
    </font>
    <font>
      <b/>
      <sz val="16"/>
      <name val="Arial CE"/>
      <charset val="204"/>
    </font>
    <font>
      <b/>
      <sz val="11"/>
      <color rgb="FFFF000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" fillId="0" borderId="0"/>
    <xf numFmtId="0" fontId="11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8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</cellStyleXfs>
  <cellXfs count="814">
    <xf numFmtId="0" fontId="0" fillId="0" borderId="0" xfId="0"/>
    <xf numFmtId="0" fontId="5" fillId="0" borderId="0" xfId="0" applyFont="1"/>
    <xf numFmtId="0" fontId="2" fillId="0" borderId="0" xfId="0" applyFont="1"/>
    <xf numFmtId="0" fontId="10" fillId="0" borderId="0" xfId="5" applyFont="1" applyAlignment="1" applyProtection="1">
      <alignment horizontal="right"/>
    </xf>
    <xf numFmtId="0" fontId="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13" fillId="0" borderId="0" xfId="0" applyFont="1"/>
    <xf numFmtId="0" fontId="19" fillId="0" borderId="0" xfId="0" applyFont="1"/>
    <xf numFmtId="0" fontId="21" fillId="0" borderId="0" xfId="0" applyFont="1"/>
    <xf numFmtId="0" fontId="44" fillId="2" borderId="32" xfId="0" applyFont="1" applyFill="1" applyBorder="1" applyAlignment="1">
      <alignment horizontal="center" vertical="center" wrapText="1"/>
    </xf>
    <xf numFmtId="0" fontId="44" fillId="3" borderId="32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45" fillId="0" borderId="0" xfId="0" applyFont="1"/>
    <xf numFmtId="2" fontId="44" fillId="3" borderId="32" xfId="0" applyNumberFormat="1" applyFont="1" applyFill="1" applyBorder="1" applyAlignment="1">
      <alignment horizontal="center" vertical="center"/>
    </xf>
    <xf numFmtId="2" fontId="44" fillId="2" borderId="32" xfId="0" applyNumberFormat="1" applyFont="1" applyFill="1" applyBorder="1" applyAlignment="1">
      <alignment horizontal="center" vertical="center"/>
    </xf>
    <xf numFmtId="2" fontId="44" fillId="3" borderId="32" xfId="0" applyNumberFormat="1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2" fontId="9" fillId="0" borderId="32" xfId="0" applyNumberFormat="1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2" fontId="9" fillId="3" borderId="33" xfId="0" applyNumberFormat="1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2" fontId="9" fillId="0" borderId="34" xfId="0" applyNumberFormat="1" applyFont="1" applyBorder="1" applyAlignment="1">
      <alignment horizontal="center" vertical="center" wrapText="1"/>
    </xf>
    <xf numFmtId="166" fontId="46" fillId="2" borderId="33" xfId="0" applyNumberFormat="1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7" fillId="0" borderId="0" xfId="0" applyFont="1" applyBorder="1"/>
    <xf numFmtId="0" fontId="17" fillId="0" borderId="0" xfId="0" applyFont="1"/>
    <xf numFmtId="0" fontId="18" fillId="0" borderId="0" xfId="0" applyFont="1"/>
    <xf numFmtId="0" fontId="22" fillId="3" borderId="32" xfId="0" applyFont="1" applyFill="1" applyBorder="1" applyAlignment="1">
      <alignment horizontal="center" vertical="center" wrapText="1"/>
    </xf>
    <xf numFmtId="0" fontId="22" fillId="3" borderId="33" xfId="0" applyFont="1" applyFill="1" applyBorder="1" applyAlignment="1">
      <alignment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horizontal="center" vertical="center" wrapText="1"/>
    </xf>
    <xf numFmtId="2" fontId="44" fillId="2" borderId="32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47" fillId="3" borderId="32" xfId="0" applyFont="1" applyFill="1" applyBorder="1" applyAlignment="1">
      <alignment horizontal="center" vertical="center" wrapText="1"/>
    </xf>
    <xf numFmtId="2" fontId="47" fillId="3" borderId="32" xfId="0" applyNumberFormat="1" applyFont="1" applyFill="1" applyBorder="1" applyAlignment="1">
      <alignment horizontal="center" vertical="center" wrapText="1"/>
    </xf>
    <xf numFmtId="0" fontId="48" fillId="5" borderId="0" xfId="0" applyFont="1" applyFill="1" applyBorder="1" applyAlignment="1">
      <alignment vertical="center" wrapText="1"/>
    </xf>
    <xf numFmtId="166" fontId="49" fillId="3" borderId="33" xfId="0" applyNumberFormat="1" applyFont="1" applyFill="1" applyBorder="1" applyAlignment="1">
      <alignment horizontal="center" vertical="center"/>
    </xf>
    <xf numFmtId="166" fontId="49" fillId="3" borderId="32" xfId="0" applyNumberFormat="1" applyFont="1" applyFill="1" applyBorder="1" applyAlignment="1">
      <alignment horizontal="center" vertical="center"/>
    </xf>
    <xf numFmtId="166" fontId="49" fillId="2" borderId="32" xfId="0" applyNumberFormat="1" applyFont="1" applyFill="1" applyBorder="1" applyAlignment="1">
      <alignment horizontal="center" vertical="center"/>
    </xf>
    <xf numFmtId="166" fontId="46" fillId="3" borderId="34" xfId="0" applyNumberFormat="1" applyFont="1" applyFill="1" applyBorder="1" applyAlignment="1">
      <alignment horizontal="center" vertical="center"/>
    </xf>
    <xf numFmtId="0" fontId="44" fillId="3" borderId="34" xfId="0" applyFont="1" applyFill="1" applyBorder="1" applyAlignment="1">
      <alignment horizontal="center" vertical="center" wrapText="1"/>
    </xf>
    <xf numFmtId="0" fontId="44" fillId="3" borderId="34" xfId="0" applyFont="1" applyFill="1" applyBorder="1" applyAlignment="1">
      <alignment horizontal="center" vertical="center"/>
    </xf>
    <xf numFmtId="0" fontId="44" fillId="2" borderId="33" xfId="0" applyFont="1" applyFill="1" applyBorder="1" applyAlignment="1">
      <alignment horizontal="center" vertical="center" wrapText="1"/>
    </xf>
    <xf numFmtId="0" fontId="44" fillId="2" borderId="33" xfId="0" applyFont="1" applyFill="1" applyBorder="1" applyAlignment="1">
      <alignment horizontal="center" vertical="center"/>
    </xf>
    <xf numFmtId="0" fontId="44" fillId="2" borderId="32" xfId="0" applyFont="1" applyFill="1" applyBorder="1" applyAlignment="1">
      <alignment horizontal="center" vertical="center"/>
    </xf>
    <xf numFmtId="0" fontId="44" fillId="3" borderId="32" xfId="0" applyFont="1" applyFill="1" applyBorder="1" applyAlignment="1">
      <alignment horizontal="center" vertical="center"/>
    </xf>
    <xf numFmtId="0" fontId="44" fillId="2" borderId="33" xfId="0" applyFont="1" applyFill="1" applyBorder="1" applyAlignment="1">
      <alignment horizontal="center" vertical="center" wrapText="1"/>
    </xf>
    <xf numFmtId="0" fontId="44" fillId="3" borderId="33" xfId="0" applyFont="1" applyFill="1" applyBorder="1" applyAlignment="1">
      <alignment horizontal="center" vertical="center" wrapText="1"/>
    </xf>
    <xf numFmtId="0" fontId="44" fillId="3" borderId="33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166" fontId="49" fillId="2" borderId="35" xfId="0" applyNumberFormat="1" applyFont="1" applyFill="1" applyBorder="1" applyAlignment="1">
      <alignment horizontal="center" vertical="center"/>
    </xf>
    <xf numFmtId="0" fontId="49" fillId="2" borderId="35" xfId="0" applyNumberFormat="1" applyFont="1" applyFill="1" applyBorder="1" applyAlignment="1">
      <alignment horizontal="center" vertical="center"/>
    </xf>
    <xf numFmtId="0" fontId="44" fillId="2" borderId="35" xfId="0" applyFont="1" applyFill="1" applyBorder="1" applyAlignment="1">
      <alignment horizontal="center" vertical="center"/>
    </xf>
    <xf numFmtId="166" fontId="49" fillId="3" borderId="35" xfId="0" applyNumberFormat="1" applyFont="1" applyFill="1" applyBorder="1" applyAlignment="1">
      <alignment horizontal="center" vertical="center"/>
    </xf>
    <xf numFmtId="0" fontId="49" fillId="3" borderId="35" xfId="0" applyNumberFormat="1" applyFont="1" applyFill="1" applyBorder="1" applyAlignment="1">
      <alignment horizontal="center" vertical="center"/>
    </xf>
    <xf numFmtId="0" fontId="44" fillId="3" borderId="35" xfId="0" applyFont="1" applyFill="1" applyBorder="1" applyAlignment="1">
      <alignment horizontal="center" vertical="center"/>
    </xf>
    <xf numFmtId="0" fontId="5" fillId="0" borderId="0" xfId="0" applyNumberFormat="1" applyFont="1"/>
    <xf numFmtId="0" fontId="8" fillId="4" borderId="35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8" fillId="4" borderId="32" xfId="0" applyNumberFormat="1" applyFont="1" applyFill="1" applyBorder="1" applyAlignment="1">
      <alignment horizontal="center" vertical="center" wrapText="1"/>
    </xf>
    <xf numFmtId="0" fontId="47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166" fontId="46" fillId="6" borderId="32" xfId="0" applyNumberFormat="1" applyFont="1" applyFill="1" applyBorder="1" applyAlignment="1">
      <alignment horizontal="center" vertical="center"/>
    </xf>
    <xf numFmtId="165" fontId="44" fillId="3" borderId="32" xfId="0" applyNumberFormat="1" applyFont="1" applyFill="1" applyBorder="1" applyAlignment="1">
      <alignment horizontal="center" vertical="center" wrapText="1"/>
    </xf>
    <xf numFmtId="165" fontId="44" fillId="2" borderId="32" xfId="0" applyNumberFormat="1" applyFont="1" applyFill="1" applyBorder="1" applyAlignment="1">
      <alignment horizontal="center" vertical="center" wrapText="1"/>
    </xf>
    <xf numFmtId="167" fontId="44" fillId="3" borderId="32" xfId="0" applyNumberFormat="1" applyFont="1" applyFill="1" applyBorder="1" applyAlignment="1">
      <alignment horizontal="center" vertical="center" wrapText="1"/>
    </xf>
    <xf numFmtId="1" fontId="44" fillId="3" borderId="32" xfId="0" applyNumberFormat="1" applyFont="1" applyFill="1" applyBorder="1" applyAlignment="1">
      <alignment horizontal="center" vertical="center"/>
    </xf>
    <xf numFmtId="1" fontId="44" fillId="2" borderId="32" xfId="0" applyNumberFormat="1" applyFont="1" applyFill="1" applyBorder="1" applyAlignment="1">
      <alignment horizontal="center" vertical="center"/>
    </xf>
    <xf numFmtId="0" fontId="44" fillId="3" borderId="32" xfId="0" applyFont="1" applyFill="1" applyBorder="1" applyAlignment="1">
      <alignment horizontal="center" vertical="center"/>
    </xf>
    <xf numFmtId="0" fontId="44" fillId="2" borderId="3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 wrapText="1"/>
    </xf>
    <xf numFmtId="0" fontId="47" fillId="2" borderId="32" xfId="0" applyFont="1" applyFill="1" applyBorder="1" applyAlignment="1">
      <alignment horizontal="center" vertical="center" wrapText="1"/>
    </xf>
    <xf numFmtId="2" fontId="47" fillId="2" borderId="33" xfId="0" applyNumberFormat="1" applyFont="1" applyFill="1" applyBorder="1" applyAlignment="1">
      <alignment horizontal="center" vertical="center" wrapText="1"/>
    </xf>
    <xf numFmtId="0" fontId="50" fillId="4" borderId="32" xfId="0" applyFont="1" applyFill="1" applyBorder="1" applyAlignment="1">
      <alignment horizontal="center" vertical="center" wrapText="1"/>
    </xf>
    <xf numFmtId="0" fontId="47" fillId="4" borderId="32" xfId="0" applyFont="1" applyFill="1" applyBorder="1" applyAlignment="1">
      <alignment horizontal="center" vertical="center" wrapText="1"/>
    </xf>
    <xf numFmtId="0" fontId="47" fillId="0" borderId="32" xfId="0" applyFont="1" applyBorder="1" applyAlignment="1">
      <alignment horizontal="center" vertical="center" wrapText="1"/>
    </xf>
    <xf numFmtId="2" fontId="47" fillId="0" borderId="32" xfId="0" applyNumberFormat="1" applyFont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165" fontId="9" fillId="2" borderId="32" xfId="0" applyNumberFormat="1" applyFont="1" applyFill="1" applyBorder="1" applyAlignment="1">
      <alignment horizontal="center" vertical="center" wrapText="1"/>
    </xf>
    <xf numFmtId="165" fontId="9" fillId="3" borderId="32" xfId="0" applyNumberFormat="1" applyFont="1" applyFill="1" applyBorder="1" applyAlignment="1">
      <alignment horizontal="center" vertical="center" wrapText="1"/>
    </xf>
    <xf numFmtId="0" fontId="44" fillId="3" borderId="32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168" fontId="0" fillId="0" borderId="0" xfId="0" applyNumberFormat="1"/>
    <xf numFmtId="0" fontId="50" fillId="4" borderId="35" xfId="0" applyFont="1" applyFill="1" applyBorder="1" applyAlignment="1">
      <alignment horizontal="center" vertical="center" wrapText="1"/>
    </xf>
    <xf numFmtId="0" fontId="47" fillId="4" borderId="35" xfId="0" applyFont="1" applyFill="1" applyBorder="1" applyAlignment="1">
      <alignment horizontal="center" vertical="center" wrapText="1"/>
    </xf>
    <xf numFmtId="0" fontId="47" fillId="3" borderId="35" xfId="0" applyFont="1" applyFill="1" applyBorder="1" applyAlignment="1">
      <alignment horizontal="center" vertical="center" wrapText="1"/>
    </xf>
    <xf numFmtId="2" fontId="47" fillId="3" borderId="35" xfId="0" applyNumberFormat="1" applyFont="1" applyFill="1" applyBorder="1" applyAlignment="1">
      <alignment horizontal="center" vertical="center" wrapText="1"/>
    </xf>
    <xf numFmtId="166" fontId="49" fillId="6" borderId="32" xfId="0" applyNumberFormat="1" applyFont="1" applyFill="1" applyBorder="1" applyAlignment="1">
      <alignment horizontal="center" vertical="center"/>
    </xf>
    <xf numFmtId="2" fontId="51" fillId="3" borderId="32" xfId="0" applyNumberFormat="1" applyFont="1" applyFill="1" applyBorder="1" applyAlignment="1">
      <alignment horizontal="center" vertical="center" wrapText="1"/>
    </xf>
    <xf numFmtId="1" fontId="52" fillId="3" borderId="32" xfId="0" applyNumberFormat="1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/>
    </xf>
    <xf numFmtId="2" fontId="51" fillId="2" borderId="32" xfId="0" applyNumberFormat="1" applyFont="1" applyFill="1" applyBorder="1" applyAlignment="1">
      <alignment horizontal="center" vertical="center" wrapText="1"/>
    </xf>
    <xf numFmtId="1" fontId="52" fillId="2" borderId="3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4" fillId="3" borderId="32" xfId="0" applyFont="1" applyFill="1" applyBorder="1" applyAlignment="1">
      <alignment horizontal="left" vertical="center" wrapText="1"/>
    </xf>
    <xf numFmtId="0" fontId="24" fillId="2" borderId="33" xfId="0" applyFont="1" applyFill="1" applyBorder="1" applyAlignment="1">
      <alignment vertical="center" wrapText="1"/>
    </xf>
    <xf numFmtId="166" fontId="15" fillId="6" borderId="35" xfId="0" applyNumberFormat="1" applyFont="1" applyFill="1" applyBorder="1" applyAlignment="1">
      <alignment horizontal="center" vertical="center"/>
    </xf>
    <xf numFmtId="166" fontId="7" fillId="6" borderId="35" xfId="0" applyNumberFormat="1" applyFont="1" applyFill="1" applyBorder="1" applyAlignment="1">
      <alignment horizontal="center" vertical="center"/>
    </xf>
    <xf numFmtId="166" fontId="16" fillId="3" borderId="35" xfId="0" applyNumberFormat="1" applyFont="1" applyFill="1" applyBorder="1" applyAlignment="1">
      <alignment horizontal="center" vertical="center"/>
    </xf>
    <xf numFmtId="0" fontId="53" fillId="4" borderId="32" xfId="0" applyFont="1" applyFill="1" applyBorder="1" applyAlignment="1">
      <alignment horizontal="center" vertical="center" wrapText="1"/>
    </xf>
    <xf numFmtId="0" fontId="44" fillId="3" borderId="32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vertical="center" wrapText="1"/>
    </xf>
    <xf numFmtId="0" fontId="6" fillId="5" borderId="35" xfId="0" applyFont="1" applyFill="1" applyBorder="1" applyAlignment="1">
      <alignment vertical="center"/>
    </xf>
    <xf numFmtId="0" fontId="6" fillId="5" borderId="37" xfId="0" applyFont="1" applyFill="1" applyBorder="1" applyAlignment="1">
      <alignment vertical="center" wrapText="1"/>
    </xf>
    <xf numFmtId="0" fontId="6" fillId="5" borderId="38" xfId="0" applyFont="1" applyFill="1" applyBorder="1" applyAlignment="1">
      <alignment vertical="center" wrapText="1"/>
    </xf>
    <xf numFmtId="0" fontId="6" fillId="5" borderId="39" xfId="0" applyFont="1" applyFill="1" applyBorder="1" applyAlignment="1">
      <alignment vertical="center" wrapText="1"/>
    </xf>
    <xf numFmtId="0" fontId="6" fillId="5" borderId="40" xfId="0" applyFont="1" applyFill="1" applyBorder="1" applyAlignment="1">
      <alignment vertical="center" wrapText="1"/>
    </xf>
    <xf numFmtId="166" fontId="49" fillId="3" borderId="41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30" fillId="0" borderId="0" xfId="0" applyNumberFormat="1" applyFont="1" applyFill="1" applyBorder="1" applyAlignment="1">
      <alignment horizontal="left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2" fontId="31" fillId="0" borderId="0" xfId="18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29" fillId="5" borderId="2" xfId="0" applyNumberFormat="1" applyFont="1" applyFill="1" applyBorder="1" applyAlignment="1">
      <alignment vertical="center" wrapText="1"/>
    </xf>
    <xf numFmtId="166" fontId="49" fillId="5" borderId="0" xfId="0" applyNumberFormat="1" applyFont="1" applyFill="1" applyBorder="1" applyAlignment="1">
      <alignment horizontal="center" vertical="center"/>
    </xf>
    <xf numFmtId="0" fontId="49" fillId="5" borderId="0" xfId="0" applyNumberFormat="1" applyFont="1" applyFill="1" applyBorder="1" applyAlignment="1">
      <alignment horizontal="center" vertical="center"/>
    </xf>
    <xf numFmtId="166" fontId="44" fillId="2" borderId="35" xfId="0" applyNumberFormat="1" applyFont="1" applyFill="1" applyBorder="1" applyAlignment="1">
      <alignment horizontal="center" vertical="center"/>
    </xf>
    <xf numFmtId="166" fontId="44" fillId="3" borderId="35" xfId="0" applyNumberFormat="1" applyFont="1" applyFill="1" applyBorder="1" applyAlignment="1">
      <alignment horizontal="center" vertical="center"/>
    </xf>
    <xf numFmtId="0" fontId="44" fillId="2" borderId="35" xfId="0" applyNumberFormat="1" applyFont="1" applyFill="1" applyBorder="1" applyAlignment="1">
      <alignment horizontal="center" vertical="center"/>
    </xf>
    <xf numFmtId="0" fontId="44" fillId="3" borderId="35" xfId="0" applyNumberFormat="1" applyFont="1" applyFill="1" applyBorder="1" applyAlignment="1">
      <alignment horizontal="center" vertical="center"/>
    </xf>
    <xf numFmtId="1" fontId="53" fillId="3" borderId="32" xfId="0" applyNumberFormat="1" applyFont="1" applyFill="1" applyBorder="1" applyAlignment="1">
      <alignment horizontal="center" vertical="center" wrapText="1"/>
    </xf>
    <xf numFmtId="1" fontId="44" fillId="3" borderId="32" xfId="0" applyNumberFormat="1" applyFont="1" applyFill="1" applyBorder="1" applyAlignment="1">
      <alignment horizontal="center" vertical="center" wrapText="1"/>
    </xf>
    <xf numFmtId="1" fontId="44" fillId="2" borderId="3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166" fontId="46" fillId="3" borderId="35" xfId="0" applyNumberFormat="1" applyFont="1" applyFill="1" applyBorder="1" applyAlignment="1">
      <alignment horizontal="center" vertical="center"/>
    </xf>
    <xf numFmtId="166" fontId="49" fillId="2" borderId="3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64" fontId="46" fillId="3" borderId="32" xfId="0" applyNumberFormat="1" applyFont="1" applyFill="1" applyBorder="1" applyAlignment="1">
      <alignment horizontal="center" vertical="center" wrapText="1"/>
    </xf>
    <xf numFmtId="164" fontId="46" fillId="2" borderId="32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ont="1" applyBorder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2" borderId="0" xfId="0" applyFill="1"/>
    <xf numFmtId="0" fontId="0" fillId="2" borderId="1" xfId="0" applyFill="1" applyBorder="1"/>
    <xf numFmtId="0" fontId="55" fillId="2" borderId="1" xfId="0" applyFont="1" applyFill="1" applyBorder="1"/>
    <xf numFmtId="0" fontId="56" fillId="2" borderId="1" xfId="0" applyFont="1" applyFill="1" applyBorder="1"/>
    <xf numFmtId="9" fontId="0" fillId="0" borderId="0" xfId="19" applyFont="1"/>
    <xf numFmtId="9" fontId="0" fillId="0" borderId="0" xfId="19" applyFont="1" applyAlignment="1">
      <alignment horizontal="center"/>
    </xf>
    <xf numFmtId="0" fontId="57" fillId="0" borderId="0" xfId="0" applyFont="1"/>
    <xf numFmtId="0" fontId="55" fillId="0" borderId="1" xfId="0" applyFont="1" applyBorder="1"/>
    <xf numFmtId="0" fontId="56" fillId="0" borderId="8" xfId="0" applyFont="1" applyBorder="1" applyAlignment="1"/>
    <xf numFmtId="0" fontId="56" fillId="0" borderId="1" xfId="0" applyFont="1" applyBorder="1"/>
    <xf numFmtId="0" fontId="0" fillId="0" borderId="9" xfId="0" applyBorder="1" applyAlignment="1"/>
    <xf numFmtId="0" fontId="55" fillId="0" borderId="10" xfId="0" applyFont="1" applyBorder="1" applyAlignment="1"/>
    <xf numFmtId="2" fontId="0" fillId="0" borderId="0" xfId="0" applyNumberFormat="1"/>
    <xf numFmtId="168" fontId="0" fillId="0" borderId="6" xfId="0" applyNumberFormat="1" applyBorder="1" applyAlignment="1"/>
    <xf numFmtId="1" fontId="44" fillId="2" borderId="34" xfId="0" applyNumberFormat="1" applyFont="1" applyFill="1" applyBorder="1" applyAlignment="1">
      <alignment horizontal="center" vertical="center"/>
    </xf>
    <xf numFmtId="0" fontId="44" fillId="2" borderId="34" xfId="0" applyFont="1" applyFill="1" applyBorder="1" applyAlignment="1">
      <alignment horizontal="center" vertical="center"/>
    </xf>
    <xf numFmtId="0" fontId="44" fillId="2" borderId="34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9" xfId="0" applyFill="1" applyBorder="1"/>
    <xf numFmtId="0" fontId="0" fillId="0" borderId="9" xfId="0" applyBorder="1"/>
    <xf numFmtId="0" fontId="0" fillId="0" borderId="11" xfId="0" applyFill="1" applyBorder="1"/>
    <xf numFmtId="2" fontId="0" fillId="0" borderId="1" xfId="0" applyNumberFormat="1" applyBorder="1"/>
    <xf numFmtId="0" fontId="56" fillId="0" borderId="1" xfId="0" applyFont="1" applyBorder="1" applyAlignment="1">
      <alignment horizontal="center"/>
    </xf>
    <xf numFmtId="2" fontId="56" fillId="0" borderId="1" xfId="0" applyNumberFormat="1" applyFont="1" applyBorder="1" applyAlignment="1">
      <alignment horizontal="center"/>
    </xf>
    <xf numFmtId="9" fontId="56" fillId="0" borderId="1" xfId="19" applyFont="1" applyBorder="1" applyAlignment="1">
      <alignment horizontal="center"/>
    </xf>
    <xf numFmtId="9" fontId="56" fillId="0" borderId="1" xfId="19" applyNumberFormat="1" applyFont="1" applyBorder="1" applyAlignment="1">
      <alignment horizontal="center"/>
    </xf>
    <xf numFmtId="2" fontId="55" fillId="0" borderId="1" xfId="0" applyNumberFormat="1" applyFont="1" applyBorder="1"/>
    <xf numFmtId="0" fontId="0" fillId="0" borderId="12" xfId="0" applyBorder="1" applyAlignment="1"/>
    <xf numFmtId="0" fontId="0" fillId="0" borderId="0" xfId="0" applyBorder="1" applyAlignment="1"/>
    <xf numFmtId="0" fontId="0" fillId="0" borderId="13" xfId="0" applyBorder="1" applyAlignment="1"/>
    <xf numFmtId="166" fontId="49" fillId="3" borderId="34" xfId="0" applyNumberFormat="1" applyFont="1" applyFill="1" applyBorder="1" applyAlignment="1">
      <alignment horizontal="center" vertical="center"/>
    </xf>
    <xf numFmtId="166" fontId="49" fillId="2" borderId="34" xfId="0" applyNumberFormat="1" applyFont="1" applyFill="1" applyBorder="1" applyAlignment="1">
      <alignment horizontal="center" vertical="center"/>
    </xf>
    <xf numFmtId="0" fontId="13" fillId="0" borderId="1" xfId="0" applyFont="1" applyBorder="1"/>
    <xf numFmtId="0" fontId="13" fillId="0" borderId="1" xfId="0" applyFont="1" applyFill="1" applyBorder="1"/>
    <xf numFmtId="0" fontId="13" fillId="0" borderId="9" xfId="0" applyFont="1" applyFill="1" applyBorder="1"/>
    <xf numFmtId="169" fontId="0" fillId="0" borderId="0" xfId="0" applyNumberFormat="1"/>
    <xf numFmtId="170" fontId="0" fillId="0" borderId="0" xfId="0" applyNumberFormat="1" applyAlignment="1">
      <alignment horizontal="center"/>
    </xf>
    <xf numFmtId="0" fontId="0" fillId="0" borderId="3" xfId="0" applyBorder="1"/>
    <xf numFmtId="0" fontId="0" fillId="0" borderId="4" xfId="0" applyBorder="1"/>
    <xf numFmtId="0" fontId="56" fillId="0" borderId="4" xfId="0" applyFont="1" applyBorder="1"/>
    <xf numFmtId="164" fontId="54" fillId="3" borderId="32" xfId="0" applyNumberFormat="1" applyFont="1" applyFill="1" applyBorder="1" applyAlignment="1">
      <alignment horizontal="center" vertical="center" wrapText="1"/>
    </xf>
    <xf numFmtId="166" fontId="54" fillId="2" borderId="32" xfId="0" applyNumberFormat="1" applyFont="1" applyFill="1" applyBorder="1" applyAlignment="1">
      <alignment horizontal="center" vertical="center"/>
    </xf>
    <xf numFmtId="166" fontId="54" fillId="3" borderId="32" xfId="0" applyNumberFormat="1" applyFont="1" applyFill="1" applyBorder="1" applyAlignment="1">
      <alignment horizontal="center" vertical="center"/>
    </xf>
    <xf numFmtId="0" fontId="35" fillId="0" borderId="0" xfId="0" applyFont="1"/>
    <xf numFmtId="0" fontId="36" fillId="0" borderId="0" xfId="0" applyFont="1" applyAlignment="1"/>
    <xf numFmtId="0" fontId="37" fillId="0" borderId="0" xfId="0" applyFont="1" applyAlignment="1"/>
    <xf numFmtId="0" fontId="34" fillId="0" borderId="0" xfId="0" applyFont="1" applyAlignment="1"/>
    <xf numFmtId="0" fontId="39" fillId="0" borderId="0" xfId="0" applyFont="1" applyAlignment="1"/>
    <xf numFmtId="0" fontId="38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49" fontId="58" fillId="0" borderId="14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35" fillId="0" borderId="18" xfId="0" applyFont="1" applyBorder="1"/>
    <xf numFmtId="0" fontId="35" fillId="0" borderId="0" xfId="0" applyFont="1" applyBorder="1"/>
    <xf numFmtId="0" fontId="35" fillId="0" borderId="19" xfId="0" applyFont="1" applyBorder="1"/>
    <xf numFmtId="0" fontId="35" fillId="0" borderId="20" xfId="0" applyFont="1" applyBorder="1"/>
    <xf numFmtId="0" fontId="35" fillId="0" borderId="21" xfId="0" applyFont="1" applyBorder="1"/>
    <xf numFmtId="0" fontId="35" fillId="0" borderId="22" xfId="0" applyFont="1" applyBorder="1"/>
    <xf numFmtId="49" fontId="58" fillId="0" borderId="23" xfId="0" applyNumberFormat="1" applyFont="1" applyBorder="1" applyAlignment="1">
      <alignment horizontal="center" vertical="center" wrapText="1"/>
    </xf>
    <xf numFmtId="0" fontId="45" fillId="0" borderId="0" xfId="0" applyFont="1" applyProtection="1">
      <protection locked="0"/>
    </xf>
    <xf numFmtId="0" fontId="0" fillId="0" borderId="0" xfId="0" applyProtection="1">
      <protection locked="0"/>
    </xf>
    <xf numFmtId="0" fontId="8" fillId="4" borderId="32" xfId="0" applyFont="1" applyFill="1" applyBorder="1" applyAlignment="1" applyProtection="1">
      <alignment horizontal="center" vertical="center" wrapText="1"/>
      <protection locked="0"/>
    </xf>
    <xf numFmtId="0" fontId="19" fillId="4" borderId="32" xfId="0" applyFont="1" applyFill="1" applyBorder="1" applyAlignment="1" applyProtection="1">
      <alignment horizontal="center" vertical="center" wrapText="1"/>
      <protection locked="0"/>
    </xf>
    <xf numFmtId="0" fontId="8" fillId="3" borderId="32" xfId="0" applyFont="1" applyFill="1" applyBorder="1" applyAlignment="1" applyProtection="1">
      <alignment horizontal="center" vertical="center" wrapText="1"/>
      <protection locked="0"/>
    </xf>
    <xf numFmtId="0" fontId="50" fillId="3" borderId="32" xfId="0" applyFont="1" applyFill="1" applyBorder="1" applyAlignment="1" applyProtection="1">
      <alignment horizontal="center" vertical="center" wrapText="1"/>
      <protection locked="0"/>
    </xf>
    <xf numFmtId="166" fontId="49" fillId="3" borderId="33" xfId="0" applyNumberFormat="1" applyFont="1" applyFill="1" applyBorder="1" applyAlignment="1" applyProtection="1">
      <alignment horizontal="center" vertical="center"/>
      <protection locked="0"/>
    </xf>
    <xf numFmtId="166" fontId="49" fillId="3" borderId="43" xfId="0" applyNumberFormat="1" applyFont="1" applyFill="1" applyBorder="1" applyAlignment="1" applyProtection="1">
      <alignment horizontal="center" vertical="center"/>
      <protection locked="0"/>
    </xf>
    <xf numFmtId="166" fontId="49" fillId="3" borderId="0" xfId="0" applyNumberFormat="1" applyFont="1" applyFill="1" applyBorder="1" applyAlignment="1" applyProtection="1">
      <alignment horizontal="center" vertical="center"/>
      <protection locked="0"/>
    </xf>
    <xf numFmtId="9" fontId="49" fillId="3" borderId="0" xfId="19" applyFont="1" applyFill="1" applyBorder="1" applyAlignment="1" applyProtection="1">
      <alignment horizontal="center" vertical="center"/>
      <protection locked="0"/>
    </xf>
    <xf numFmtId="0" fontId="8" fillId="2" borderId="32" xfId="0" applyFont="1" applyFill="1" applyBorder="1" applyAlignment="1" applyProtection="1">
      <alignment horizontal="center" vertical="center" wrapText="1"/>
      <protection locked="0"/>
    </xf>
    <xf numFmtId="0" fontId="50" fillId="2" borderId="32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59" fillId="0" borderId="0" xfId="0" applyFont="1"/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2" fontId="55" fillId="7" borderId="1" xfId="0" applyNumberFormat="1" applyFont="1" applyFill="1" applyBorder="1" applyAlignment="1">
      <alignment horizontal="center" vertical="center"/>
    </xf>
    <xf numFmtId="2" fontId="0" fillId="8" borderId="1" xfId="0" applyNumberFormat="1" applyFill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2" fontId="33" fillId="0" borderId="18" xfId="0" applyNumberFormat="1" applyFont="1" applyBorder="1" applyAlignment="1">
      <alignment horizontal="center" vertical="center"/>
    </xf>
    <xf numFmtId="2" fontId="33" fillId="0" borderId="0" xfId="0" applyNumberFormat="1" applyFont="1" applyBorder="1" applyAlignment="1">
      <alignment horizontal="center" vertical="center"/>
    </xf>
    <xf numFmtId="2" fontId="33" fillId="0" borderId="19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166" fontId="41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2" fontId="13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2" fontId="13" fillId="9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41" fillId="9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2" fontId="13" fillId="5" borderId="1" xfId="0" applyNumberFormat="1" applyFont="1" applyFill="1" applyBorder="1" applyAlignment="1">
      <alignment horizontal="center" vertical="center"/>
    </xf>
    <xf numFmtId="0" fontId="41" fillId="9" borderId="1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vertical="center"/>
    </xf>
    <xf numFmtId="166" fontId="41" fillId="5" borderId="1" xfId="0" applyNumberFormat="1" applyFont="1" applyFill="1" applyBorder="1" applyAlignment="1">
      <alignment horizontal="center" vertical="center"/>
    </xf>
    <xf numFmtId="2" fontId="41" fillId="9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 wrapText="1"/>
    </xf>
    <xf numFmtId="0" fontId="19" fillId="8" borderId="32" xfId="0" applyFont="1" applyFill="1" applyBorder="1" applyAlignment="1" applyProtection="1">
      <alignment horizontal="center" vertical="center" wrapText="1"/>
      <protection locked="0"/>
    </xf>
    <xf numFmtId="0" fontId="8" fillId="8" borderId="32" xfId="0" applyFont="1" applyFill="1" applyBorder="1" applyAlignment="1" applyProtection="1">
      <alignment horizontal="center" vertical="center" wrapText="1"/>
      <protection locked="0"/>
    </xf>
    <xf numFmtId="166" fontId="49" fillId="8" borderId="33" xfId="0" applyNumberFormat="1" applyFont="1" applyFill="1" applyBorder="1" applyAlignment="1" applyProtection="1">
      <alignment horizontal="center" vertical="center"/>
      <protection locked="0"/>
    </xf>
    <xf numFmtId="166" fontId="49" fillId="8" borderId="43" xfId="0" applyNumberFormat="1" applyFont="1" applyFill="1" applyBorder="1" applyAlignment="1" applyProtection="1">
      <alignment horizontal="center" vertical="center"/>
      <protection locked="0"/>
    </xf>
    <xf numFmtId="166" fontId="49" fillId="8" borderId="43" xfId="0" applyNumberFormat="1" applyFont="1" applyFill="1" applyBorder="1" applyAlignment="1" applyProtection="1">
      <alignment horizontal="center" vertical="center"/>
    </xf>
    <xf numFmtId="0" fontId="19" fillId="10" borderId="32" xfId="0" applyFont="1" applyFill="1" applyBorder="1" applyAlignment="1" applyProtection="1">
      <alignment horizontal="center" vertical="center" wrapText="1"/>
      <protection locked="0"/>
    </xf>
    <xf numFmtId="0" fontId="8" fillId="10" borderId="32" xfId="0" applyFont="1" applyFill="1" applyBorder="1" applyAlignment="1" applyProtection="1">
      <alignment horizontal="center" vertical="center" wrapText="1"/>
      <protection locked="0"/>
    </xf>
    <xf numFmtId="166" fontId="49" fillId="10" borderId="33" xfId="0" applyNumberFormat="1" applyFont="1" applyFill="1" applyBorder="1" applyAlignment="1" applyProtection="1">
      <alignment horizontal="center" vertical="center"/>
      <protection locked="0"/>
    </xf>
    <xf numFmtId="166" fontId="49" fillId="10" borderId="43" xfId="0" applyNumberFormat="1" applyFont="1" applyFill="1" applyBorder="1" applyAlignment="1" applyProtection="1">
      <alignment horizontal="center" vertical="center"/>
      <protection locked="0"/>
    </xf>
    <xf numFmtId="170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0" fillId="5" borderId="0" xfId="0" applyFill="1"/>
    <xf numFmtId="0" fontId="0" fillId="5" borderId="1" xfId="0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2" fontId="0" fillId="12" borderId="1" xfId="0" applyNumberFormat="1" applyFill="1" applyBorder="1" applyAlignment="1">
      <alignment horizontal="center" vertical="center"/>
    </xf>
    <xf numFmtId="0" fontId="0" fillId="12" borderId="1" xfId="0" applyFont="1" applyFill="1" applyBorder="1" applyAlignment="1">
      <alignment horizontal="center" vertical="center"/>
    </xf>
    <xf numFmtId="0" fontId="0" fillId="12" borderId="0" xfId="0" applyFill="1"/>
    <xf numFmtId="0" fontId="0" fillId="12" borderId="1" xfId="0" applyFill="1" applyBorder="1" applyAlignment="1">
      <alignment horizontal="center" vertical="center"/>
    </xf>
    <xf numFmtId="0" fontId="0" fillId="11" borderId="1" xfId="0" applyFill="1" applyBorder="1"/>
    <xf numFmtId="2" fontId="13" fillId="11" borderId="1" xfId="0" applyNumberFormat="1" applyFont="1" applyFill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2" fontId="0" fillId="11" borderId="1" xfId="0" applyNumberFormat="1" applyFill="1" applyBorder="1"/>
    <xf numFmtId="0" fontId="41" fillId="0" borderId="1" xfId="0" applyFont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6" fontId="41" fillId="3" borderId="1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2" fontId="0" fillId="3" borderId="1" xfId="0" applyNumberFormat="1" applyFill="1" applyBorder="1"/>
    <xf numFmtId="0" fontId="0" fillId="3" borderId="1" xfId="0" applyFill="1" applyBorder="1"/>
    <xf numFmtId="0" fontId="9" fillId="11" borderId="1" xfId="0" applyFont="1" applyFill="1" applyBorder="1" applyAlignment="1">
      <alignment horizontal="center" vertical="center" wrapText="1"/>
    </xf>
    <xf numFmtId="0" fontId="35" fillId="4" borderId="41" xfId="0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/>
    </xf>
    <xf numFmtId="2" fontId="33" fillId="5" borderId="1" xfId="0" applyNumberFormat="1" applyFont="1" applyFill="1" applyBorder="1" applyAlignment="1">
      <alignment horizontal="center" vertical="center"/>
    </xf>
    <xf numFmtId="0" fontId="35" fillId="4" borderId="47" xfId="0" applyFont="1" applyFill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/>
    </xf>
    <xf numFmtId="49" fontId="58" fillId="0" borderId="24" xfId="0" applyNumberFormat="1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 wrapText="1"/>
    </xf>
    <xf numFmtId="0" fontId="35" fillId="0" borderId="26" xfId="0" applyFont="1" applyBorder="1"/>
    <xf numFmtId="0" fontId="35" fillId="0" borderId="27" xfId="0" applyFont="1" applyBorder="1"/>
    <xf numFmtId="2" fontId="33" fillId="0" borderId="28" xfId="0" applyNumberFormat="1" applyFont="1" applyBorder="1" applyAlignment="1">
      <alignment horizontal="center" vertical="center"/>
    </xf>
    <xf numFmtId="2" fontId="33" fillId="0" borderId="29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2" fontId="4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6" fontId="61" fillId="3" borderId="32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2" fontId="0" fillId="14" borderId="1" xfId="0" applyNumberForma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2" fontId="55" fillId="5" borderId="1" xfId="0" applyNumberFormat="1" applyFont="1" applyFill="1" applyBorder="1" applyAlignment="1">
      <alignment horizontal="center" vertical="center"/>
    </xf>
    <xf numFmtId="0" fontId="0" fillId="15" borderId="1" xfId="0" applyFon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2" fontId="0" fillId="15" borderId="1" xfId="0" applyNumberFormat="1" applyFill="1" applyBorder="1" applyAlignment="1">
      <alignment horizontal="center" vertical="center"/>
    </xf>
    <xf numFmtId="2" fontId="0" fillId="5" borderId="1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166" fontId="7" fillId="3" borderId="32" xfId="0" applyNumberFormat="1" applyFont="1" applyFill="1" applyBorder="1" applyAlignment="1">
      <alignment horizontal="center" vertical="center"/>
    </xf>
    <xf numFmtId="2" fontId="9" fillId="2" borderId="35" xfId="0" applyNumberFormat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2" fontId="7" fillId="3" borderId="33" xfId="0" applyNumberFormat="1" applyFont="1" applyFill="1" applyBorder="1" applyAlignment="1">
      <alignment horizontal="center" vertical="center" wrapText="1"/>
    </xf>
    <xf numFmtId="0" fontId="63" fillId="2" borderId="35" xfId="0" applyNumberFormat="1" applyFont="1" applyFill="1" applyBorder="1" applyAlignment="1">
      <alignment horizontal="left" vertical="center" wrapText="1"/>
    </xf>
    <xf numFmtId="0" fontId="63" fillId="2" borderId="35" xfId="0" applyNumberFormat="1" applyFont="1" applyFill="1" applyBorder="1" applyAlignment="1">
      <alignment horizontal="center" vertical="center"/>
    </xf>
    <xf numFmtId="0" fontId="63" fillId="3" borderId="35" xfId="0" applyNumberFormat="1" applyFont="1" applyFill="1" applyBorder="1" applyAlignment="1">
      <alignment horizontal="left" vertical="center" wrapText="1"/>
    </xf>
    <xf numFmtId="0" fontId="63" fillId="3" borderId="35" xfId="0" applyNumberFormat="1" applyFont="1" applyFill="1" applyBorder="1" applyAlignment="1">
      <alignment horizontal="center" vertical="center"/>
    </xf>
    <xf numFmtId="0" fontId="62" fillId="4" borderId="35" xfId="0" applyFont="1" applyFill="1" applyBorder="1" applyAlignment="1">
      <alignment horizontal="center" vertical="center" wrapText="1"/>
    </xf>
    <xf numFmtId="0" fontId="38" fillId="2" borderId="35" xfId="0" applyFont="1" applyFill="1" applyBorder="1" applyAlignment="1">
      <alignment horizontal="center" vertical="top" wrapText="1"/>
    </xf>
    <xf numFmtId="0" fontId="64" fillId="0" borderId="0" xfId="0" applyFont="1"/>
    <xf numFmtId="49" fontId="38" fillId="2" borderId="35" xfId="0" applyNumberFormat="1" applyFont="1" applyFill="1" applyBorder="1" applyAlignment="1">
      <alignment horizontal="center" vertical="top" wrapText="1"/>
    </xf>
    <xf numFmtId="0" fontId="0" fillId="0" borderId="0" xfId="0" applyFont="1" applyProtection="1">
      <protection locked="0"/>
    </xf>
    <xf numFmtId="0" fontId="58" fillId="0" borderId="15" xfId="0" applyFont="1" applyBorder="1" applyAlignment="1">
      <alignment horizontal="center" vertical="center" wrapText="1"/>
    </xf>
    <xf numFmtId="0" fontId="65" fillId="0" borderId="0" xfId="0" applyFont="1"/>
    <xf numFmtId="0" fontId="66" fillId="0" borderId="0" xfId="0" applyFont="1"/>
    <xf numFmtId="2" fontId="35" fillId="8" borderId="1" xfId="0" applyNumberFormat="1" applyFont="1" applyFill="1" applyBorder="1"/>
    <xf numFmtId="2" fontId="35" fillId="11" borderId="1" xfId="0" applyNumberFormat="1" applyFont="1" applyFill="1" applyBorder="1"/>
    <xf numFmtId="2" fontId="35" fillId="8" borderId="1" xfId="0" applyNumberFormat="1" applyFont="1" applyFill="1" applyBorder="1" applyAlignment="1">
      <alignment horizontal="center"/>
    </xf>
    <xf numFmtId="166" fontId="61" fillId="2" borderId="32" xfId="0" applyNumberFormat="1" applyFont="1" applyFill="1" applyBorder="1" applyAlignment="1">
      <alignment horizontal="center" vertical="center" wrapText="1"/>
    </xf>
    <xf numFmtId="0" fontId="44" fillId="3" borderId="34" xfId="0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0" fillId="0" borderId="12" xfId="0" applyBorder="1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6" fontId="46" fillId="2" borderId="34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4" fontId="45" fillId="0" borderId="0" xfId="0" applyNumberFormat="1" applyFont="1" applyAlignment="1">
      <alignment horizontal="left"/>
    </xf>
    <xf numFmtId="0" fontId="8" fillId="4" borderId="3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7" fillId="0" borderId="0" xfId="0" applyFont="1" applyBorder="1" applyAlignment="1">
      <alignment horizontal="center" vertical="center"/>
    </xf>
    <xf numFmtId="0" fontId="44" fillId="5" borderId="0" xfId="0" applyFont="1" applyFill="1" applyBorder="1" applyAlignment="1">
      <alignment horizontal="center" vertical="center" wrapText="1"/>
    </xf>
    <xf numFmtId="1" fontId="44" fillId="5" borderId="0" xfId="0" applyNumberFormat="1" applyFont="1" applyFill="1" applyBorder="1" applyAlignment="1">
      <alignment horizontal="center" vertical="center"/>
    </xf>
    <xf numFmtId="0" fontId="44" fillId="5" borderId="0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166" fontId="7" fillId="8" borderId="34" xfId="0" applyNumberFormat="1" applyFont="1" applyFill="1" applyBorder="1" applyAlignment="1">
      <alignment horizontal="center" vertical="center"/>
    </xf>
    <xf numFmtId="166" fontId="7" fillId="8" borderId="49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66" fontId="13" fillId="7" borderId="1" xfId="0" applyNumberFormat="1" applyFont="1" applyFill="1" applyBorder="1" applyAlignment="1">
      <alignment horizontal="center" vertical="center"/>
    </xf>
    <xf numFmtId="166" fontId="0" fillId="7" borderId="1" xfId="0" applyNumberFormat="1" applyFont="1" applyFill="1" applyBorder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0" fontId="62" fillId="4" borderId="41" xfId="0" applyFont="1" applyFill="1" applyBorder="1" applyAlignment="1">
      <alignment horizontal="center" vertical="center" wrapText="1"/>
    </xf>
    <xf numFmtId="2" fontId="68" fillId="8" borderId="1" xfId="0" applyNumberFormat="1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left" vertical="center" wrapText="1"/>
    </xf>
    <xf numFmtId="0" fontId="60" fillId="5" borderId="0" xfId="0" applyFont="1" applyFill="1" applyBorder="1" applyAlignment="1">
      <alignment horizontal="left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53" fillId="4" borderId="0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/>
    </xf>
    <xf numFmtId="166" fontId="54" fillId="8" borderId="32" xfId="0" applyNumberFormat="1" applyFont="1" applyFill="1" applyBorder="1" applyAlignment="1">
      <alignment horizontal="center" vertical="center"/>
    </xf>
    <xf numFmtId="166" fontId="69" fillId="3" borderId="42" xfId="0" applyNumberFormat="1" applyFont="1" applyFill="1" applyBorder="1" applyAlignment="1">
      <alignment horizontal="center" vertical="center"/>
    </xf>
    <xf numFmtId="166" fontId="69" fillId="2" borderId="42" xfId="0" applyNumberFormat="1" applyFont="1" applyFill="1" applyBorder="1" applyAlignment="1">
      <alignment horizontal="center" vertical="center"/>
    </xf>
    <xf numFmtId="166" fontId="46" fillId="3" borderId="32" xfId="0" applyNumberFormat="1" applyFont="1" applyFill="1" applyBorder="1" applyAlignment="1">
      <alignment horizontal="center" vertical="center"/>
    </xf>
    <xf numFmtId="166" fontId="46" fillId="2" borderId="32" xfId="0" applyNumberFormat="1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 wrapText="1"/>
    </xf>
    <xf numFmtId="0" fontId="22" fillId="3" borderId="33" xfId="0" applyFont="1" applyFill="1" applyBorder="1" applyAlignment="1">
      <alignment horizontal="center" vertical="center" wrapText="1"/>
    </xf>
    <xf numFmtId="0" fontId="55" fillId="0" borderId="0" xfId="0" applyFont="1"/>
    <xf numFmtId="0" fontId="70" fillId="14" borderId="35" xfId="0" applyFont="1" applyFill="1" applyBorder="1"/>
    <xf numFmtId="0" fontId="72" fillId="14" borderId="35" xfId="0" applyFont="1" applyFill="1" applyBorder="1" applyAlignment="1">
      <alignment horizontal="center"/>
    </xf>
    <xf numFmtId="0" fontId="73" fillId="3" borderId="35" xfId="0" applyFont="1" applyFill="1" applyBorder="1" applyAlignment="1">
      <alignment horizontal="center" vertical="center"/>
    </xf>
    <xf numFmtId="0" fontId="0" fillId="3" borderId="0" xfId="0" applyFill="1"/>
    <xf numFmtId="0" fontId="75" fillId="4" borderId="32" xfId="0" applyFont="1" applyFill="1" applyBorder="1" applyAlignment="1">
      <alignment horizontal="center" vertical="center" wrapText="1"/>
    </xf>
    <xf numFmtId="0" fontId="18" fillId="0" borderId="0" xfId="21" applyFont="1" applyBorder="1" applyAlignment="1">
      <alignment horizontal="center" vertical="center"/>
    </xf>
    <xf numFmtId="0" fontId="1" fillId="0" borderId="0" xfId="21" applyBorder="1" applyAlignment="1">
      <alignment horizontal="center" vertical="center"/>
    </xf>
    <xf numFmtId="0" fontId="1" fillId="0" borderId="0" xfId="21" applyFill="1"/>
    <xf numFmtId="0" fontId="1" fillId="0" borderId="0" xfId="21"/>
    <xf numFmtId="0" fontId="1" fillId="0" borderId="0" xfId="21" applyBorder="1" applyAlignment="1">
      <alignment horizontal="left"/>
    </xf>
    <xf numFmtId="0" fontId="1" fillId="0" borderId="0" xfId="21" applyBorder="1"/>
    <xf numFmtId="0" fontId="1" fillId="0" borderId="0" xfId="21" quotePrefix="1" applyBorder="1" applyAlignment="1">
      <alignment horizontal="center"/>
    </xf>
    <xf numFmtId="0" fontId="1" fillId="0" borderId="0" xfId="21" applyAlignment="1">
      <alignment horizontal="center"/>
    </xf>
    <xf numFmtId="0" fontId="18" fillId="0" borderId="0" xfId="21" applyFont="1" applyAlignment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79" fillId="0" borderId="0" xfId="0" applyFont="1" applyAlignment="1"/>
    <xf numFmtId="0" fontId="82" fillId="0" borderId="0" xfId="0" applyFont="1"/>
    <xf numFmtId="0" fontId="44" fillId="3" borderId="34" xfId="0" applyFont="1" applyFill="1" applyBorder="1" applyAlignment="1">
      <alignment horizontal="center" vertical="center" wrapText="1"/>
    </xf>
    <xf numFmtId="0" fontId="0" fillId="17" borderId="0" xfId="0" applyFill="1"/>
    <xf numFmtId="1" fontId="83" fillId="2" borderId="32" xfId="0" applyNumberFormat="1" applyFont="1" applyFill="1" applyBorder="1" applyAlignment="1">
      <alignment horizontal="center" vertical="center" wrapText="1"/>
    </xf>
    <xf numFmtId="1" fontId="84" fillId="2" borderId="32" xfId="0" applyNumberFormat="1" applyFont="1" applyFill="1" applyBorder="1" applyAlignment="1">
      <alignment horizontal="center" vertical="center" wrapText="1"/>
    </xf>
    <xf numFmtId="166" fontId="69" fillId="2" borderId="32" xfId="0" applyNumberFormat="1" applyFont="1" applyFill="1" applyBorder="1" applyAlignment="1">
      <alignment horizontal="center" vertical="center" wrapText="1"/>
    </xf>
    <xf numFmtId="1" fontId="83" fillId="3" borderId="32" xfId="0" applyNumberFormat="1" applyFont="1" applyFill="1" applyBorder="1" applyAlignment="1">
      <alignment horizontal="center" vertical="center" wrapText="1"/>
    </xf>
    <xf numFmtId="1" fontId="84" fillId="3" borderId="32" xfId="0" applyNumberFormat="1" applyFont="1" applyFill="1" applyBorder="1" applyAlignment="1">
      <alignment horizontal="center" vertical="center" wrapText="1"/>
    </xf>
    <xf numFmtId="166" fontId="69" fillId="3" borderId="3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17" borderId="0" xfId="0" applyFill="1" applyAlignment="1">
      <alignment wrapText="1"/>
    </xf>
    <xf numFmtId="0" fontId="0" fillId="17" borderId="0" xfId="0" applyFill="1" applyAlignment="1">
      <alignment horizontal="center" vertical="center" wrapText="1"/>
    </xf>
    <xf numFmtId="0" fontId="75" fillId="2" borderId="32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vertical="center" wrapText="1"/>
    </xf>
    <xf numFmtId="0" fontId="9" fillId="3" borderId="34" xfId="0" applyFont="1" applyFill="1" applyBorder="1" applyAlignment="1">
      <alignment vertical="top" wrapText="1"/>
    </xf>
    <xf numFmtId="0" fontId="9" fillId="2" borderId="34" xfId="0" applyFont="1" applyFill="1" applyBorder="1" applyAlignment="1">
      <alignment vertical="top" wrapText="1"/>
    </xf>
    <xf numFmtId="16" fontId="72" fillId="3" borderId="35" xfId="5" quotePrefix="1" applyNumberFormat="1" applyFont="1" applyFill="1" applyBorder="1" applyAlignment="1" applyProtection="1">
      <alignment horizontal="center"/>
    </xf>
    <xf numFmtId="0" fontId="72" fillId="3" borderId="35" xfId="5" quotePrefix="1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78" fillId="0" borderId="0" xfId="0" applyFont="1" applyFill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55" fillId="0" borderId="0" xfId="0" applyNumberFormat="1" applyFont="1" applyFill="1" applyBorder="1" applyAlignment="1">
      <alignment horizontal="center" vertical="center"/>
    </xf>
    <xf numFmtId="2" fontId="0" fillId="11" borderId="1" xfId="0" applyNumberFormat="1" applyFill="1" applyBorder="1" applyAlignment="1">
      <alignment horizontal="center" vertical="center"/>
    </xf>
    <xf numFmtId="0" fontId="0" fillId="8" borderId="0" xfId="0" applyFill="1" applyAlignment="1">
      <alignment wrapText="1"/>
    </xf>
    <xf numFmtId="0" fontId="0" fillId="0" borderId="0" xfId="0" applyAlignment="1">
      <alignment horizontal="center" vertical="center" wrapText="1"/>
    </xf>
    <xf numFmtId="2" fontId="86" fillId="2" borderId="31" xfId="0" applyNumberFormat="1" applyFont="1" applyFill="1" applyBorder="1" applyAlignment="1">
      <alignment horizontal="center" vertical="center" wrapText="1"/>
    </xf>
    <xf numFmtId="2" fontId="33" fillId="2" borderId="31" xfId="0" applyNumberFormat="1" applyFont="1" applyFill="1" applyBorder="1" applyAlignment="1">
      <alignment horizontal="center" vertical="center" wrapText="1"/>
    </xf>
    <xf numFmtId="2" fontId="33" fillId="2" borderId="60" xfId="0" applyNumberFormat="1" applyFont="1" applyFill="1" applyBorder="1" applyAlignment="1">
      <alignment horizontal="center" vertical="center" wrapText="1"/>
    </xf>
    <xf numFmtId="2" fontId="86" fillId="2" borderId="1" xfId="0" applyNumberFormat="1" applyFont="1" applyFill="1" applyBorder="1" applyAlignment="1">
      <alignment horizontal="center" vertical="center" wrapText="1"/>
    </xf>
    <xf numFmtId="2" fontId="33" fillId="2" borderId="1" xfId="0" applyNumberFormat="1" applyFont="1" applyFill="1" applyBorder="1" applyAlignment="1">
      <alignment horizontal="center" vertical="center" wrapText="1"/>
    </xf>
    <xf numFmtId="2" fontId="33" fillId="2" borderId="61" xfId="0" applyNumberFormat="1" applyFont="1" applyFill="1" applyBorder="1" applyAlignment="1">
      <alignment horizontal="center" vertical="center" wrapText="1"/>
    </xf>
    <xf numFmtId="2" fontId="87" fillId="2" borderId="1" xfId="0" applyNumberFormat="1" applyFont="1" applyFill="1" applyBorder="1" applyAlignment="1">
      <alignment horizontal="center" vertical="center" wrapText="1"/>
    </xf>
    <xf numFmtId="2" fontId="42" fillId="2" borderId="1" xfId="0" applyNumberFormat="1" applyFont="1" applyFill="1" applyBorder="1" applyAlignment="1">
      <alignment horizontal="center" vertical="center" wrapText="1"/>
    </xf>
    <xf numFmtId="2" fontId="42" fillId="2" borderId="61" xfId="0" applyNumberFormat="1" applyFont="1" applyFill="1" applyBorder="1" applyAlignment="1">
      <alignment horizontal="center" vertical="center" wrapText="1"/>
    </xf>
    <xf numFmtId="2" fontId="86" fillId="3" borderId="1" xfId="0" applyNumberFormat="1" applyFont="1" applyFill="1" applyBorder="1" applyAlignment="1">
      <alignment horizontal="center" vertical="center" wrapText="1"/>
    </xf>
    <xf numFmtId="2" fontId="33" fillId="3" borderId="1" xfId="0" applyNumberFormat="1" applyFont="1" applyFill="1" applyBorder="1" applyAlignment="1">
      <alignment horizontal="center" vertical="center" wrapText="1"/>
    </xf>
    <xf numFmtId="2" fontId="33" fillId="3" borderId="61" xfId="0" applyNumberFormat="1" applyFont="1" applyFill="1" applyBorder="1" applyAlignment="1">
      <alignment horizontal="center" vertical="center" wrapText="1"/>
    </xf>
    <xf numFmtId="2" fontId="87" fillId="3" borderId="1" xfId="0" applyNumberFormat="1" applyFont="1" applyFill="1" applyBorder="1" applyAlignment="1">
      <alignment horizontal="center" vertical="center" wrapText="1"/>
    </xf>
    <xf numFmtId="2" fontId="42" fillId="3" borderId="1" xfId="0" applyNumberFormat="1" applyFont="1" applyFill="1" applyBorder="1" applyAlignment="1">
      <alignment horizontal="center" vertical="center" wrapText="1"/>
    </xf>
    <xf numFmtId="2" fontId="42" fillId="3" borderId="61" xfId="0" applyNumberFormat="1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8" fillId="4" borderId="32" xfId="0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66" fontId="0" fillId="0" borderId="0" xfId="0" applyNumberFormat="1"/>
    <xf numFmtId="0" fontId="8" fillId="4" borderId="32" xfId="0" applyFont="1" applyFill="1" applyBorder="1" applyAlignment="1">
      <alignment horizontal="center" vertical="top" wrapText="1"/>
    </xf>
    <xf numFmtId="166" fontId="46" fillId="2" borderId="32" xfId="0" applyNumberFormat="1" applyFont="1" applyFill="1" applyBorder="1" applyAlignment="1">
      <alignment horizontal="center" vertical="center"/>
    </xf>
    <xf numFmtId="166" fontId="46" fillId="3" borderId="32" xfId="0" applyNumberFormat="1" applyFont="1" applyFill="1" applyBorder="1" applyAlignment="1">
      <alignment horizontal="center" vertical="center"/>
    </xf>
    <xf numFmtId="0" fontId="0" fillId="11" borderId="0" xfId="0" applyFill="1"/>
    <xf numFmtId="0" fontId="46" fillId="3" borderId="32" xfId="0" applyFont="1" applyFill="1" applyBorder="1" applyAlignment="1">
      <alignment horizontal="center" vertical="center" wrapText="1"/>
    </xf>
    <xf numFmtId="0" fontId="46" fillId="2" borderId="32" xfId="0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 wrapText="1"/>
    </xf>
    <xf numFmtId="0" fontId="0" fillId="14" borderId="0" xfId="0" applyFill="1"/>
    <xf numFmtId="166" fontId="46" fillId="2" borderId="32" xfId="0" applyNumberFormat="1" applyFont="1" applyFill="1" applyBorder="1" applyAlignment="1">
      <alignment horizontal="center" vertical="center" wrapText="1"/>
    </xf>
    <xf numFmtId="2" fontId="46" fillId="3" borderId="32" xfId="0" applyNumberFormat="1" applyFont="1" applyFill="1" applyBorder="1" applyAlignment="1">
      <alignment horizontal="center" vertical="center" wrapText="1"/>
    </xf>
    <xf numFmtId="2" fontId="46" fillId="2" borderId="32" xfId="0" applyNumberFormat="1" applyFont="1" applyFill="1" applyBorder="1" applyAlignment="1">
      <alignment horizontal="center" vertical="center" wrapText="1"/>
    </xf>
    <xf numFmtId="2" fontId="46" fillId="2" borderId="33" xfId="0" applyNumberFormat="1" applyFont="1" applyFill="1" applyBorder="1" applyAlignment="1">
      <alignment horizontal="center" vertical="center" wrapText="1"/>
    </xf>
    <xf numFmtId="0" fontId="88" fillId="0" borderId="0" xfId="0" applyFont="1"/>
    <xf numFmtId="0" fontId="60" fillId="5" borderId="44" xfId="0" applyFont="1" applyFill="1" applyBorder="1" applyAlignment="1">
      <alignment vertical="center" wrapText="1"/>
    </xf>
    <xf numFmtId="0" fontId="17" fillId="2" borderId="32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44" fillId="3" borderId="33" xfId="0" applyFont="1" applyFill="1" applyBorder="1" applyAlignment="1">
      <alignment horizontal="center" vertical="center" wrapText="1"/>
    </xf>
    <xf numFmtId="0" fontId="0" fillId="0" borderId="30" xfId="0" applyBorder="1"/>
    <xf numFmtId="166" fontId="46" fillId="3" borderId="33" xfId="0" applyNumberFormat="1" applyFont="1" applyFill="1" applyBorder="1" applyAlignment="1">
      <alignment horizontal="center" vertical="center"/>
    </xf>
    <xf numFmtId="0" fontId="74" fillId="3" borderId="37" xfId="5" applyFont="1" applyFill="1" applyBorder="1" applyAlignment="1" applyProtection="1"/>
    <xf numFmtId="0" fontId="74" fillId="3" borderId="38" xfId="5" applyFont="1" applyFill="1" applyBorder="1" applyAlignment="1" applyProtection="1"/>
    <xf numFmtId="0" fontId="74" fillId="3" borderId="54" xfId="5" applyFont="1" applyFill="1" applyBorder="1" applyAlignment="1" applyProtection="1"/>
    <xf numFmtId="0" fontId="73" fillId="2" borderId="37" xfId="0" applyFont="1" applyFill="1" applyBorder="1" applyAlignment="1">
      <alignment horizontal="left" vertical="center" wrapText="1"/>
    </xf>
    <xf numFmtId="0" fontId="73" fillId="2" borderId="38" xfId="0" applyFont="1" applyFill="1" applyBorder="1" applyAlignment="1">
      <alignment horizontal="left" vertical="center" wrapText="1"/>
    </xf>
    <xf numFmtId="0" fontId="73" fillId="2" borderId="54" xfId="0" applyFont="1" applyFill="1" applyBorder="1" applyAlignment="1">
      <alignment horizontal="left" vertical="center" wrapText="1"/>
    </xf>
    <xf numFmtId="0" fontId="71" fillId="14" borderId="37" xfId="0" applyFont="1" applyFill="1" applyBorder="1" applyAlignment="1">
      <alignment horizontal="center"/>
    </xf>
    <xf numFmtId="0" fontId="71" fillId="14" borderId="38" xfId="0" applyFont="1" applyFill="1" applyBorder="1" applyAlignment="1">
      <alignment horizontal="center"/>
    </xf>
    <xf numFmtId="0" fontId="71" fillId="14" borderId="54" xfId="0" applyFont="1" applyFill="1" applyBorder="1" applyAlignment="1">
      <alignment horizontal="center"/>
    </xf>
    <xf numFmtId="0" fontId="74" fillId="3" borderId="37" xfId="5" quotePrefix="1" applyFont="1" applyFill="1" applyBorder="1" applyAlignment="1" applyProtection="1"/>
    <xf numFmtId="0" fontId="74" fillId="3" borderId="38" xfId="5" quotePrefix="1" applyFont="1" applyFill="1" applyBorder="1" applyAlignment="1" applyProtection="1"/>
    <xf numFmtId="0" fontId="74" fillId="3" borderId="54" xfId="5" quotePrefix="1" applyFont="1" applyFill="1" applyBorder="1" applyAlignment="1" applyProtection="1"/>
    <xf numFmtId="0" fontId="12" fillId="5" borderId="48" xfId="0" applyFont="1" applyFill="1" applyBorder="1" applyAlignment="1">
      <alignment horizontal="left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2" borderId="42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/>
    </xf>
    <xf numFmtId="0" fontId="16" fillId="2" borderId="44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61" fillId="3" borderId="36" xfId="0" applyFont="1" applyFill="1" applyBorder="1" applyAlignment="1">
      <alignment horizontal="center" vertical="center" wrapText="1"/>
    </xf>
    <xf numFmtId="0" fontId="61" fillId="3" borderId="42" xfId="0" applyFont="1" applyFill="1" applyBorder="1" applyAlignment="1">
      <alignment horizontal="center" vertical="center" wrapText="1"/>
    </xf>
    <xf numFmtId="0" fontId="61" fillId="16" borderId="36" xfId="0" applyFont="1" applyFill="1" applyBorder="1" applyAlignment="1">
      <alignment horizontal="center" vertical="center" wrapText="1"/>
    </xf>
    <xf numFmtId="0" fontId="61" fillId="16" borderId="42" xfId="0" applyFont="1" applyFill="1" applyBorder="1" applyAlignment="1">
      <alignment horizontal="center" vertical="center" wrapText="1"/>
    </xf>
    <xf numFmtId="0" fontId="44" fillId="3" borderId="36" xfId="0" applyFont="1" applyFill="1" applyBorder="1" applyAlignment="1">
      <alignment horizontal="center" vertical="center" wrapText="1"/>
    </xf>
    <xf numFmtId="0" fontId="44" fillId="3" borderId="42" xfId="0" applyFont="1" applyFill="1" applyBorder="1" applyAlignment="1">
      <alignment horizontal="center" vertical="center" wrapText="1"/>
    </xf>
    <xf numFmtId="0" fontId="61" fillId="2" borderId="36" xfId="0" applyFont="1" applyFill="1" applyBorder="1" applyAlignment="1">
      <alignment horizontal="center" vertical="center" wrapText="1"/>
    </xf>
    <xf numFmtId="0" fontId="61" fillId="2" borderId="42" xfId="0" applyFont="1" applyFill="1" applyBorder="1" applyAlignment="1">
      <alignment horizontal="center" vertical="center" wrapText="1"/>
    </xf>
    <xf numFmtId="166" fontId="69" fillId="3" borderId="36" xfId="0" applyNumberFormat="1" applyFont="1" applyFill="1" applyBorder="1" applyAlignment="1">
      <alignment horizontal="center" vertical="center"/>
    </xf>
    <xf numFmtId="166" fontId="69" fillId="3" borderId="44" xfId="0" applyNumberFormat="1" applyFont="1" applyFill="1" applyBorder="1" applyAlignment="1">
      <alignment horizontal="center" vertical="center"/>
    </xf>
    <xf numFmtId="166" fontId="69" fillId="2" borderId="36" xfId="0" applyNumberFormat="1" applyFont="1" applyFill="1" applyBorder="1" applyAlignment="1">
      <alignment horizontal="center" vertical="center"/>
    </xf>
    <xf numFmtId="166" fontId="69" fillId="2" borderId="44" xfId="0" applyNumberFormat="1" applyFont="1" applyFill="1" applyBorder="1" applyAlignment="1">
      <alignment horizontal="center" vertical="center"/>
    </xf>
    <xf numFmtId="0" fontId="75" fillId="4" borderId="36" xfId="0" applyFont="1" applyFill="1" applyBorder="1" applyAlignment="1">
      <alignment horizontal="center" vertical="center" wrapText="1"/>
    </xf>
    <xf numFmtId="0" fontId="75" fillId="4" borderId="42" xfId="0" applyFont="1" applyFill="1" applyBorder="1" applyAlignment="1">
      <alignment horizontal="center" vertical="center" wrapText="1"/>
    </xf>
    <xf numFmtId="0" fontId="49" fillId="2" borderId="36" xfId="0" applyFont="1" applyFill="1" applyBorder="1" applyAlignment="1">
      <alignment horizontal="center" vertical="center" wrapText="1"/>
    </xf>
    <xf numFmtId="0" fontId="49" fillId="2" borderId="44" xfId="0" applyFont="1" applyFill="1" applyBorder="1" applyAlignment="1">
      <alignment horizontal="center" vertical="center" wrapText="1"/>
    </xf>
    <xf numFmtId="0" fontId="49" fillId="2" borderId="42" xfId="0" applyFont="1" applyFill="1" applyBorder="1" applyAlignment="1">
      <alignment horizontal="center" vertical="center" wrapText="1"/>
    </xf>
    <xf numFmtId="0" fontId="60" fillId="5" borderId="44" xfId="0" applyFont="1" applyFill="1" applyBorder="1" applyAlignment="1">
      <alignment horizontal="left" vertical="center" wrapText="1"/>
    </xf>
    <xf numFmtId="0" fontId="75" fillId="4" borderId="44" xfId="0" applyFont="1" applyFill="1" applyBorder="1" applyAlignment="1">
      <alignment horizontal="center" vertical="center" wrapText="1"/>
    </xf>
    <xf numFmtId="166" fontId="69" fillId="3" borderId="42" xfId="0" applyNumberFormat="1" applyFont="1" applyFill="1" applyBorder="1" applyAlignment="1">
      <alignment horizontal="center" vertical="center"/>
    </xf>
    <xf numFmtId="166" fontId="69" fillId="2" borderId="42" xfId="0" applyNumberFormat="1" applyFont="1" applyFill="1" applyBorder="1" applyAlignment="1">
      <alignment horizontal="center" vertical="center"/>
    </xf>
    <xf numFmtId="166" fontId="46" fillId="3" borderId="36" xfId="0" applyNumberFormat="1" applyFont="1" applyFill="1" applyBorder="1" applyAlignment="1">
      <alignment horizontal="center" vertical="center"/>
    </xf>
    <xf numFmtId="166" fontId="46" fillId="3" borderId="44" xfId="0" applyNumberFormat="1" applyFont="1" applyFill="1" applyBorder="1" applyAlignment="1">
      <alignment horizontal="center" vertical="center"/>
    </xf>
    <xf numFmtId="166" fontId="46" fillId="3" borderId="42" xfId="0" applyNumberFormat="1" applyFont="1" applyFill="1" applyBorder="1" applyAlignment="1">
      <alignment horizontal="center" vertical="center"/>
    </xf>
    <xf numFmtId="0" fontId="44" fillId="3" borderId="44" xfId="0" applyFont="1" applyFill="1" applyBorder="1" applyAlignment="1">
      <alignment horizontal="center" vertical="center"/>
    </xf>
    <xf numFmtId="0" fontId="44" fillId="3" borderId="42" xfId="0" applyFont="1" applyFill="1" applyBorder="1" applyAlignment="1">
      <alignment horizontal="center" vertical="center"/>
    </xf>
    <xf numFmtId="0" fontId="53" fillId="4" borderId="36" xfId="0" applyFont="1" applyFill="1" applyBorder="1" applyAlignment="1">
      <alignment horizontal="center" vertical="center" wrapText="1"/>
    </xf>
    <xf numFmtId="0" fontId="53" fillId="4" borderId="44" xfId="0" applyFont="1" applyFill="1" applyBorder="1" applyAlignment="1">
      <alignment horizontal="center" vertical="center" wrapText="1"/>
    </xf>
    <xf numFmtId="0" fontId="53" fillId="4" borderId="42" xfId="0" applyFont="1" applyFill="1" applyBorder="1" applyAlignment="1">
      <alignment horizontal="center" vertical="center" wrapText="1"/>
    </xf>
    <xf numFmtId="0" fontId="44" fillId="3" borderId="36" xfId="0" applyFont="1" applyFill="1" applyBorder="1" applyAlignment="1">
      <alignment horizontal="center" vertical="center"/>
    </xf>
    <xf numFmtId="0" fontId="60" fillId="5" borderId="44" xfId="0" applyFont="1" applyFill="1" applyBorder="1" applyAlignment="1">
      <alignment vertical="center" wrapText="1"/>
    </xf>
    <xf numFmtId="0" fontId="44" fillId="2" borderId="36" xfId="0" applyFont="1" applyFill="1" applyBorder="1" applyAlignment="1">
      <alignment horizontal="center" vertical="center"/>
    </xf>
    <xf numFmtId="0" fontId="44" fillId="2" borderId="44" xfId="0" applyFont="1" applyFill="1" applyBorder="1" applyAlignment="1">
      <alignment horizontal="center" vertical="center"/>
    </xf>
    <xf numFmtId="0" fontId="44" fillId="2" borderId="42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75" fillId="4" borderId="52" xfId="0" applyFont="1" applyFill="1" applyBorder="1" applyAlignment="1">
      <alignment horizontal="center" vertical="center" wrapText="1"/>
    </xf>
    <xf numFmtId="0" fontId="75" fillId="4" borderId="0" xfId="0" applyFont="1" applyFill="1" applyBorder="1" applyAlignment="1">
      <alignment horizontal="center" vertical="center" wrapText="1"/>
    </xf>
    <xf numFmtId="0" fontId="44" fillId="3" borderId="52" xfId="0" applyFont="1" applyFill="1" applyBorder="1" applyAlignment="1">
      <alignment horizontal="center" vertical="center" wrapText="1"/>
    </xf>
    <xf numFmtId="0" fontId="44" fillId="3" borderId="0" xfId="0" applyFont="1" applyFill="1" applyBorder="1" applyAlignment="1">
      <alignment horizontal="center" vertical="center" wrapText="1"/>
    </xf>
    <xf numFmtId="0" fontId="24" fillId="5" borderId="52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vertical="center" wrapText="1"/>
    </xf>
    <xf numFmtId="0" fontId="44" fillId="2" borderId="42" xfId="0" applyFont="1" applyFill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0" fontId="14" fillId="5" borderId="42" xfId="0" applyFont="1" applyFill="1" applyBorder="1" applyAlignment="1">
      <alignment horizontal="center" vertical="center" wrapText="1"/>
    </xf>
    <xf numFmtId="0" fontId="14" fillId="5" borderId="44" xfId="0" applyFont="1" applyFill="1" applyBorder="1" applyAlignment="1">
      <alignment horizontal="center" vertical="center" wrapText="1"/>
    </xf>
    <xf numFmtId="0" fontId="49" fillId="2" borderId="36" xfId="0" applyFont="1" applyFill="1" applyBorder="1" applyAlignment="1">
      <alignment horizontal="center" vertical="center"/>
    </xf>
    <xf numFmtId="0" fontId="49" fillId="2" borderId="44" xfId="0" applyFont="1" applyFill="1" applyBorder="1" applyAlignment="1">
      <alignment horizontal="center" vertical="center"/>
    </xf>
    <xf numFmtId="0" fontId="49" fillId="2" borderId="42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166" fontId="46" fillId="2" borderId="32" xfId="0" applyNumberFormat="1" applyFont="1" applyFill="1" applyBorder="1" applyAlignment="1">
      <alignment horizontal="center" vertical="center"/>
    </xf>
    <xf numFmtId="0" fontId="9" fillId="3" borderId="36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 vertical="center" wrapText="1"/>
    </xf>
    <xf numFmtId="0" fontId="46" fillId="2" borderId="36" xfId="0" applyFont="1" applyFill="1" applyBorder="1" applyAlignment="1">
      <alignment horizontal="center" vertical="center" wrapText="1"/>
    </xf>
    <xf numFmtId="0" fontId="46" fillId="2" borderId="44" xfId="0" applyFont="1" applyFill="1" applyBorder="1" applyAlignment="1">
      <alignment horizontal="center" vertical="center" wrapText="1"/>
    </xf>
    <xf numFmtId="0" fontId="46" fillId="2" borderId="42" xfId="0" applyFont="1" applyFill="1" applyBorder="1" applyAlignment="1">
      <alignment horizontal="center" vertical="center" wrapText="1"/>
    </xf>
    <xf numFmtId="0" fontId="46" fillId="3" borderId="36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4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4" borderId="44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left" vertical="center"/>
    </xf>
    <xf numFmtId="166" fontId="46" fillId="3" borderId="32" xfId="0" applyNumberFormat="1" applyFont="1" applyFill="1" applyBorder="1" applyAlignment="1">
      <alignment horizontal="center" vertical="center"/>
    </xf>
    <xf numFmtId="0" fontId="60" fillId="5" borderId="0" xfId="0" applyFont="1" applyFill="1" applyBorder="1" applyAlignment="1">
      <alignment horizontal="left" vertical="center"/>
    </xf>
    <xf numFmtId="0" fontId="7" fillId="2" borderId="49" xfId="0" applyFont="1" applyFill="1" applyBorder="1" applyAlignment="1">
      <alignment horizontal="left" vertical="center" wrapText="1"/>
    </xf>
    <xf numFmtId="0" fontId="7" fillId="2" borderId="48" xfId="0" applyFont="1" applyFill="1" applyBorder="1" applyAlignment="1">
      <alignment horizontal="left" vertical="center" wrapText="1"/>
    </xf>
    <xf numFmtId="0" fontId="7" fillId="2" borderId="50" xfId="0" applyFont="1" applyFill="1" applyBorder="1" applyAlignment="1">
      <alignment horizontal="left" vertical="center" wrapText="1"/>
    </xf>
    <xf numFmtId="0" fontId="47" fillId="3" borderId="36" xfId="0" applyFont="1" applyFill="1" applyBorder="1" applyAlignment="1">
      <alignment horizontal="center" vertical="center" wrapText="1"/>
    </xf>
    <xf numFmtId="0" fontId="47" fillId="3" borderId="44" xfId="0" applyFont="1" applyFill="1" applyBorder="1" applyAlignment="1">
      <alignment horizontal="center" vertical="center" wrapText="1"/>
    </xf>
    <xf numFmtId="0" fontId="47" fillId="3" borderId="42" xfId="0" applyFont="1" applyFill="1" applyBorder="1" applyAlignment="1">
      <alignment horizontal="center" vertical="center" wrapText="1"/>
    </xf>
    <xf numFmtId="0" fontId="50" fillId="4" borderId="35" xfId="0" applyFont="1" applyFill="1" applyBorder="1" applyAlignment="1">
      <alignment horizontal="center" vertical="center" wrapText="1"/>
    </xf>
    <xf numFmtId="0" fontId="47" fillId="3" borderId="37" xfId="0" applyFont="1" applyFill="1" applyBorder="1" applyAlignment="1">
      <alignment horizontal="center" vertical="center" wrapText="1"/>
    </xf>
    <xf numFmtId="0" fontId="47" fillId="3" borderId="54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center" vertical="center" wrapText="1"/>
    </xf>
    <xf numFmtId="0" fontId="7" fillId="3" borderId="46" xfId="0" applyFont="1" applyFill="1" applyBorder="1" applyAlignment="1">
      <alignment horizontal="center" vertical="center" wrapText="1"/>
    </xf>
    <xf numFmtId="0" fontId="50" fillId="4" borderId="37" xfId="0" applyFont="1" applyFill="1" applyBorder="1" applyAlignment="1">
      <alignment horizontal="center" vertical="center" wrapText="1"/>
    </xf>
    <xf numFmtId="0" fontId="50" fillId="4" borderId="38" xfId="0" applyFont="1" applyFill="1" applyBorder="1" applyAlignment="1">
      <alignment horizontal="center" vertical="center" wrapText="1"/>
    </xf>
    <xf numFmtId="0" fontId="50" fillId="4" borderId="54" xfId="0" applyFont="1" applyFill="1" applyBorder="1" applyAlignment="1">
      <alignment horizontal="center" vertical="center" wrapText="1"/>
    </xf>
    <xf numFmtId="0" fontId="50" fillId="4" borderId="36" xfId="0" applyFont="1" applyFill="1" applyBorder="1" applyAlignment="1">
      <alignment horizontal="center" vertical="center" wrapText="1"/>
    </xf>
    <xf numFmtId="0" fontId="50" fillId="4" borderId="44" xfId="0" applyFont="1" applyFill="1" applyBorder="1" applyAlignment="1">
      <alignment horizontal="center" vertical="center" wrapText="1"/>
    </xf>
    <xf numFmtId="0" fontId="50" fillId="4" borderId="42" xfId="0" applyFont="1" applyFill="1" applyBorder="1" applyAlignment="1">
      <alignment horizontal="center" vertical="center" wrapText="1"/>
    </xf>
    <xf numFmtId="0" fontId="47" fillId="2" borderId="36" xfId="0" applyFont="1" applyFill="1" applyBorder="1" applyAlignment="1">
      <alignment horizontal="center" vertical="center" wrapText="1"/>
    </xf>
    <xf numFmtId="0" fontId="47" fillId="2" borderId="44" xfId="0" applyFont="1" applyFill="1" applyBorder="1" applyAlignment="1">
      <alignment horizontal="center" vertical="center" wrapText="1"/>
    </xf>
    <xf numFmtId="0" fontId="47" fillId="2" borderId="42" xfId="0" applyFont="1" applyFill="1" applyBorder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/>
    </xf>
    <xf numFmtId="0" fontId="46" fillId="2" borderId="37" xfId="0" applyFont="1" applyFill="1" applyBorder="1" applyAlignment="1">
      <alignment horizontal="center" vertical="center"/>
    </xf>
    <xf numFmtId="0" fontId="46" fillId="2" borderId="38" xfId="0" applyFont="1" applyFill="1" applyBorder="1" applyAlignment="1">
      <alignment horizontal="center" vertical="center"/>
    </xf>
    <xf numFmtId="0" fontId="46" fillId="2" borderId="54" xfId="0" applyFont="1" applyFill="1" applyBorder="1" applyAlignment="1">
      <alignment horizontal="center" vertical="center"/>
    </xf>
    <xf numFmtId="0" fontId="7" fillId="2" borderId="49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/>
    </xf>
    <xf numFmtId="0" fontId="7" fillId="2" borderId="5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47" fillId="3" borderId="38" xfId="0" applyFont="1" applyFill="1" applyBorder="1" applyAlignment="1">
      <alignment horizontal="center" vertical="center" wrapText="1"/>
    </xf>
    <xf numFmtId="0" fontId="46" fillId="2" borderId="49" xfId="0" applyFont="1" applyFill="1" applyBorder="1" applyAlignment="1">
      <alignment horizontal="center" vertical="center"/>
    </xf>
    <xf numFmtId="0" fontId="46" fillId="2" borderId="48" xfId="0" applyFont="1" applyFill="1" applyBorder="1" applyAlignment="1">
      <alignment horizontal="center" vertical="center"/>
    </xf>
    <xf numFmtId="0" fontId="46" fillId="2" borderId="50" xfId="0" applyFont="1" applyFill="1" applyBorder="1" applyAlignment="1">
      <alignment horizontal="center" vertical="center"/>
    </xf>
    <xf numFmtId="0" fontId="52" fillId="3" borderId="36" xfId="0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left" vertical="center" wrapText="1"/>
    </xf>
    <xf numFmtId="0" fontId="46" fillId="2" borderId="49" xfId="0" applyFont="1" applyFill="1" applyBorder="1" applyAlignment="1">
      <alignment horizontal="center" vertical="center" wrapText="1"/>
    </xf>
    <xf numFmtId="0" fontId="46" fillId="2" borderId="48" xfId="0" applyFont="1" applyFill="1" applyBorder="1" applyAlignment="1">
      <alignment horizontal="center" vertical="center" wrapText="1"/>
    </xf>
    <xf numFmtId="0" fontId="46" fillId="2" borderId="50" xfId="0" applyFont="1" applyFill="1" applyBorder="1" applyAlignment="1">
      <alignment horizontal="center" vertical="center" wrapText="1"/>
    </xf>
    <xf numFmtId="0" fontId="47" fillId="3" borderId="3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166" fontId="7" fillId="8" borderId="36" xfId="0" applyNumberFormat="1" applyFont="1" applyFill="1" applyBorder="1" applyAlignment="1">
      <alignment horizontal="left" vertical="center"/>
    </xf>
    <xf numFmtId="166" fontId="7" fillId="8" borderId="44" xfId="0" applyNumberFormat="1" applyFont="1" applyFill="1" applyBorder="1" applyAlignment="1">
      <alignment horizontal="left" vertical="center"/>
    </xf>
    <xf numFmtId="166" fontId="7" fillId="8" borderId="42" xfId="0" applyNumberFormat="1" applyFont="1" applyFill="1" applyBorder="1" applyAlignment="1">
      <alignment horizontal="left" vertical="center"/>
    </xf>
    <xf numFmtId="0" fontId="9" fillId="4" borderId="33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8" fillId="4" borderId="52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56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0" fontId="8" fillId="4" borderId="50" xfId="0" applyFont="1" applyFill="1" applyBorder="1" applyAlignment="1">
      <alignment horizontal="center" vertical="center" wrapText="1"/>
    </xf>
    <xf numFmtId="166" fontId="7" fillId="8" borderId="52" xfId="0" applyNumberFormat="1" applyFont="1" applyFill="1" applyBorder="1" applyAlignment="1">
      <alignment horizontal="center" vertical="center"/>
    </xf>
    <xf numFmtId="166" fontId="7" fillId="8" borderId="0" xfId="0" applyNumberFormat="1" applyFont="1" applyFill="1" applyBorder="1" applyAlignment="1">
      <alignment horizontal="center" vertical="center"/>
    </xf>
    <xf numFmtId="166" fontId="7" fillId="8" borderId="56" xfId="0" applyNumberFormat="1" applyFont="1" applyFill="1" applyBorder="1" applyAlignment="1">
      <alignment horizontal="center" vertical="center"/>
    </xf>
    <xf numFmtId="0" fontId="44" fillId="2" borderId="49" xfId="0" applyFont="1" applyFill="1" applyBorder="1" applyAlignment="1">
      <alignment horizontal="center" vertical="center" wrapText="1"/>
    </xf>
    <xf numFmtId="0" fontId="44" fillId="2" borderId="50" xfId="0" applyFont="1" applyFill="1" applyBorder="1" applyAlignment="1">
      <alignment horizontal="center" vertical="center" wrapText="1"/>
    </xf>
    <xf numFmtId="0" fontId="12" fillId="5" borderId="43" xfId="0" applyFont="1" applyFill="1" applyBorder="1" applyAlignment="1">
      <alignment horizontal="left" vertical="center"/>
    </xf>
    <xf numFmtId="0" fontId="12" fillId="5" borderId="45" xfId="0" applyFont="1" applyFill="1" applyBorder="1" applyAlignment="1">
      <alignment horizontal="left" vertical="center"/>
    </xf>
    <xf numFmtId="0" fontId="12" fillId="5" borderId="46" xfId="0" applyFont="1" applyFill="1" applyBorder="1" applyAlignment="1">
      <alignment horizontal="left" vertical="center"/>
    </xf>
    <xf numFmtId="0" fontId="46" fillId="0" borderId="0" xfId="0" applyFont="1" applyBorder="1" applyAlignment="1">
      <alignment horizontal="center" vertical="center"/>
    </xf>
    <xf numFmtId="0" fontId="12" fillId="5" borderId="0" xfId="0" applyFont="1" applyFill="1" applyBorder="1" applyAlignment="1">
      <alignment vertical="top" wrapText="1"/>
    </xf>
    <xf numFmtId="0" fontId="44" fillId="3" borderId="34" xfId="0" applyFont="1" applyFill="1" applyBorder="1" applyAlignment="1">
      <alignment horizontal="center" vertical="center" wrapText="1"/>
    </xf>
    <xf numFmtId="0" fontId="44" fillId="3" borderId="43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2" borderId="33" xfId="0" applyFont="1" applyFill="1" applyBorder="1" applyAlignment="1">
      <alignment horizontal="center" vertical="center" wrapText="1"/>
    </xf>
    <xf numFmtId="0" fontId="44" fillId="3" borderId="33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44" fillId="2" borderId="43" xfId="0" applyFont="1" applyFill="1" applyBorder="1" applyAlignment="1">
      <alignment horizontal="center" vertical="center" wrapText="1"/>
    </xf>
    <xf numFmtId="0" fontId="44" fillId="2" borderId="46" xfId="0" applyFont="1" applyFill="1" applyBorder="1" applyAlignment="1">
      <alignment horizontal="center" vertical="center" wrapText="1"/>
    </xf>
    <xf numFmtId="0" fontId="44" fillId="3" borderId="56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15" fillId="3" borderId="33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84" fillId="3" borderId="36" xfId="0" applyFont="1" applyFill="1" applyBorder="1" applyAlignment="1">
      <alignment horizontal="left" vertical="center" wrapText="1"/>
    </xf>
    <xf numFmtId="0" fontId="84" fillId="3" borderId="42" xfId="0" applyFont="1" applyFill="1" applyBorder="1" applyAlignment="1">
      <alignment horizontal="left" vertical="center" wrapText="1"/>
    </xf>
    <xf numFmtId="0" fontId="84" fillId="2" borderId="36" xfId="0" applyFont="1" applyFill="1" applyBorder="1" applyAlignment="1">
      <alignment horizontal="left" vertical="center" wrapText="1"/>
    </xf>
    <xf numFmtId="0" fontId="84" fillId="2" borderId="42" xfId="0" applyFont="1" applyFill="1" applyBorder="1" applyAlignment="1">
      <alignment horizontal="left" vertical="center" wrapText="1"/>
    </xf>
    <xf numFmtId="0" fontId="75" fillId="2" borderId="36" xfId="0" applyFont="1" applyFill="1" applyBorder="1" applyAlignment="1">
      <alignment horizontal="center" vertical="center" wrapText="1"/>
    </xf>
    <xf numFmtId="0" fontId="75" fillId="2" borderId="42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6" fillId="2" borderId="32" xfId="0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8" fillId="3" borderId="36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8" fillId="3" borderId="42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left" vertical="center" wrapText="1"/>
    </xf>
    <xf numFmtId="0" fontId="12" fillId="5" borderId="56" xfId="0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2" fillId="3" borderId="36" xfId="0" applyFont="1" applyFill="1" applyBorder="1" applyAlignment="1">
      <alignment horizontal="left" vertical="center" wrapText="1"/>
    </xf>
    <xf numFmtId="0" fontId="52" fillId="3" borderId="42" xfId="0" applyFont="1" applyFill="1" applyBorder="1" applyAlignment="1">
      <alignment horizontal="left" vertical="center" wrapText="1"/>
    </xf>
    <xf numFmtId="0" fontId="52" fillId="2" borderId="36" xfId="0" applyFont="1" applyFill="1" applyBorder="1" applyAlignment="1">
      <alignment horizontal="left" vertical="center" wrapText="1"/>
    </xf>
    <xf numFmtId="0" fontId="52" fillId="2" borderId="42" xfId="0" applyFont="1" applyFill="1" applyBorder="1" applyAlignment="1">
      <alignment horizontal="left" vertical="center" wrapText="1"/>
    </xf>
    <xf numFmtId="0" fontId="12" fillId="5" borderId="32" xfId="0" applyFont="1" applyFill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2" fontId="35" fillId="8" borderId="9" xfId="0" applyNumberFormat="1" applyFont="1" applyFill="1" applyBorder="1" applyAlignment="1">
      <alignment horizontal="center"/>
    </xf>
    <xf numFmtId="2" fontId="35" fillId="8" borderId="2" xfId="0" applyNumberFormat="1" applyFont="1" applyFill="1" applyBorder="1" applyAlignment="1">
      <alignment horizontal="center"/>
    </xf>
    <xf numFmtId="2" fontId="35" fillId="8" borderId="10" xfId="0" applyNumberFormat="1" applyFont="1" applyFill="1" applyBorder="1" applyAlignment="1">
      <alignment horizontal="center"/>
    </xf>
    <xf numFmtId="2" fontId="35" fillId="11" borderId="9" xfId="0" applyNumberFormat="1" applyFont="1" applyFill="1" applyBorder="1" applyAlignment="1">
      <alignment horizontal="center"/>
    </xf>
    <xf numFmtId="2" fontId="35" fillId="11" borderId="2" xfId="0" applyNumberFormat="1" applyFont="1" applyFill="1" applyBorder="1" applyAlignment="1">
      <alignment horizontal="center"/>
    </xf>
    <xf numFmtId="2" fontId="35" fillId="11" borderId="10" xfId="0" applyNumberFormat="1" applyFont="1" applyFill="1" applyBorder="1" applyAlignment="1">
      <alignment horizontal="center"/>
    </xf>
    <xf numFmtId="2" fontId="68" fillId="8" borderId="1" xfId="0" applyNumberFormat="1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/>
    </xf>
    <xf numFmtId="2" fontId="35" fillId="8" borderId="9" xfId="0" applyNumberFormat="1" applyFont="1" applyFill="1" applyBorder="1" applyAlignment="1">
      <alignment horizontal="center" vertical="center"/>
    </xf>
    <xf numFmtId="2" fontId="35" fillId="8" borderId="10" xfId="0" applyNumberFormat="1" applyFont="1" applyFill="1" applyBorder="1" applyAlignment="1">
      <alignment horizontal="center" vertical="center"/>
    </xf>
    <xf numFmtId="2" fontId="35" fillId="11" borderId="9" xfId="0" applyNumberFormat="1" applyFont="1" applyFill="1" applyBorder="1" applyAlignment="1">
      <alignment horizontal="center" vertical="center"/>
    </xf>
    <xf numFmtId="2" fontId="35" fillId="11" borderId="1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2" fontId="33" fillId="10" borderId="10" xfId="0" applyNumberFormat="1" applyFont="1" applyFill="1" applyBorder="1" applyAlignment="1">
      <alignment horizontal="center" vertical="center"/>
    </xf>
    <xf numFmtId="2" fontId="33" fillId="10" borderId="1" xfId="0" applyNumberFormat="1" applyFont="1" applyFill="1" applyBorder="1" applyAlignment="1">
      <alignment horizontal="center" vertical="center"/>
    </xf>
    <xf numFmtId="2" fontId="42" fillId="3" borderId="1" xfId="0" applyNumberFormat="1" applyFont="1" applyFill="1" applyBorder="1" applyAlignment="1">
      <alignment horizontal="center" vertical="center" wrapText="1"/>
    </xf>
    <xf numFmtId="2" fontId="42" fillId="3" borderId="61" xfId="0" applyNumberFormat="1" applyFont="1" applyFill="1" applyBorder="1" applyAlignment="1">
      <alignment horizontal="center" vertical="center" wrapText="1"/>
    </xf>
    <xf numFmtId="2" fontId="42" fillId="0" borderId="9" xfId="0" applyNumberFormat="1" applyFont="1" applyBorder="1" applyAlignment="1">
      <alignment horizontal="center" vertical="center"/>
    </xf>
    <xf numFmtId="2" fontId="42" fillId="0" borderId="2" xfId="0" applyNumberFormat="1" applyFont="1" applyBorder="1" applyAlignment="1">
      <alignment horizontal="center" vertical="center"/>
    </xf>
    <xf numFmtId="2" fontId="42" fillId="0" borderId="10" xfId="0" applyNumberFormat="1" applyFont="1" applyBorder="1" applyAlignment="1">
      <alignment horizontal="center" vertical="center"/>
    </xf>
    <xf numFmtId="2" fontId="33" fillId="10" borderId="9" xfId="0" applyNumberFormat="1" applyFont="1" applyFill="1" applyBorder="1" applyAlignment="1">
      <alignment horizontal="center" vertical="center"/>
    </xf>
    <xf numFmtId="2" fontId="33" fillId="10" borderId="2" xfId="0" applyNumberFormat="1" applyFont="1" applyFill="1" applyBorder="1" applyAlignment="1">
      <alignment horizontal="center" vertical="center"/>
    </xf>
    <xf numFmtId="2" fontId="33" fillId="10" borderId="28" xfId="0" applyNumberFormat="1" applyFont="1" applyFill="1" applyBorder="1" applyAlignment="1">
      <alignment horizontal="center" vertical="center"/>
    </xf>
    <xf numFmtId="2" fontId="33" fillId="10" borderId="29" xfId="0" applyNumberFormat="1" applyFont="1" applyFill="1" applyBorder="1" applyAlignment="1">
      <alignment horizontal="center" vertical="center"/>
    </xf>
    <xf numFmtId="2" fontId="42" fillId="2" borderId="62" xfId="0" applyNumberFormat="1" applyFont="1" applyFill="1" applyBorder="1" applyAlignment="1">
      <alignment horizontal="center" vertical="center" wrapText="1"/>
    </xf>
    <xf numFmtId="2" fontId="42" fillId="2" borderId="63" xfId="0" applyNumberFormat="1" applyFont="1" applyFill="1" applyBorder="1" applyAlignment="1">
      <alignment horizontal="center" vertical="center" wrapText="1"/>
    </xf>
    <xf numFmtId="2" fontId="33" fillId="11" borderId="7" xfId="0" applyNumberFormat="1" applyFont="1" applyFill="1" applyBorder="1" applyAlignment="1">
      <alignment horizontal="center" vertical="center"/>
    </xf>
    <xf numFmtId="2" fontId="33" fillId="11" borderId="13" xfId="0" applyNumberFormat="1" applyFont="1" applyFill="1" applyBorder="1" applyAlignment="1">
      <alignment horizontal="center" vertical="center"/>
    </xf>
    <xf numFmtId="2" fontId="33" fillId="11" borderId="18" xfId="0" applyNumberFormat="1" applyFont="1" applyFill="1" applyBorder="1" applyAlignment="1">
      <alignment horizontal="center" vertical="center"/>
    </xf>
    <xf numFmtId="2" fontId="33" fillId="11" borderId="0" xfId="0" applyNumberFormat="1" applyFont="1" applyFill="1" applyBorder="1" applyAlignment="1">
      <alignment horizontal="center" vertical="center"/>
    </xf>
    <xf numFmtId="2" fontId="33" fillId="11" borderId="28" xfId="0" applyNumberFormat="1" applyFont="1" applyFill="1" applyBorder="1" applyAlignment="1">
      <alignment horizontal="center" vertical="center"/>
    </xf>
    <xf numFmtId="2" fontId="33" fillId="11" borderId="1" xfId="0" applyNumberFormat="1" applyFont="1" applyFill="1" applyBorder="1" applyAlignment="1">
      <alignment horizontal="center" vertical="center"/>
    </xf>
    <xf numFmtId="2" fontId="33" fillId="11" borderId="10" xfId="0" applyNumberFormat="1" applyFont="1" applyFill="1" applyBorder="1" applyAlignment="1">
      <alignment horizontal="center" vertical="center"/>
    </xf>
    <xf numFmtId="2" fontId="42" fillId="2" borderId="1" xfId="0" applyNumberFormat="1" applyFont="1" applyFill="1" applyBorder="1" applyAlignment="1">
      <alignment horizontal="center" vertical="center" wrapText="1"/>
    </xf>
    <xf numFmtId="2" fontId="42" fillId="2" borderId="61" xfId="0" applyNumberFormat="1" applyFont="1" applyFill="1" applyBorder="1" applyAlignment="1">
      <alignment horizontal="center" vertical="center" wrapText="1"/>
    </xf>
    <xf numFmtId="2" fontId="33" fillId="13" borderId="0" xfId="0" applyNumberFormat="1" applyFont="1" applyFill="1" applyBorder="1" applyAlignment="1">
      <alignment horizontal="center" vertical="center"/>
    </xf>
    <xf numFmtId="2" fontId="33" fillId="13" borderId="1" xfId="0" applyNumberFormat="1" applyFont="1" applyFill="1" applyBorder="1" applyAlignment="1">
      <alignment horizontal="center" vertical="center"/>
    </xf>
    <xf numFmtId="2" fontId="33" fillId="11" borderId="5" xfId="0" applyNumberFormat="1" applyFont="1" applyFill="1" applyBorder="1" applyAlignment="1">
      <alignment horizontal="center" vertical="center"/>
    </xf>
    <xf numFmtId="0" fontId="58" fillId="0" borderId="15" xfId="0" applyFont="1" applyBorder="1" applyAlignment="1">
      <alignment horizontal="center" vertical="center" wrapText="1"/>
    </xf>
    <xf numFmtId="2" fontId="87" fillId="3" borderId="1" xfId="0" applyNumberFormat="1" applyFont="1" applyFill="1" applyBorder="1" applyAlignment="1">
      <alignment horizontal="center" vertical="center" wrapText="1"/>
    </xf>
    <xf numFmtId="2" fontId="87" fillId="2" borderId="1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wrapText="1"/>
    </xf>
    <xf numFmtId="0" fontId="40" fillId="4" borderId="35" xfId="0" applyNumberFormat="1" applyFont="1" applyFill="1" applyBorder="1" applyAlignment="1">
      <alignment horizontal="center" vertical="center" wrapText="1"/>
    </xf>
    <xf numFmtId="2" fontId="86" fillId="3" borderId="1" xfId="0" applyNumberFormat="1" applyFont="1" applyFill="1" applyBorder="1" applyAlignment="1">
      <alignment horizontal="center" vertical="center" wrapText="1"/>
    </xf>
    <xf numFmtId="0" fontId="8" fillId="10" borderId="32" xfId="0" applyFont="1" applyFill="1" applyBorder="1" applyAlignment="1" applyProtection="1">
      <alignment horizontal="center" vertical="center" wrapText="1"/>
      <protection locked="0"/>
    </xf>
    <xf numFmtId="0" fontId="8" fillId="8" borderId="3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12" fillId="5" borderId="0" xfId="0" applyFont="1" applyFill="1" applyBorder="1" applyAlignment="1" applyProtection="1">
      <alignment horizontal="left" vertical="center"/>
      <protection locked="0"/>
    </xf>
    <xf numFmtId="0" fontId="8" fillId="4" borderId="32" xfId="0" applyFont="1" applyFill="1" applyBorder="1" applyAlignment="1" applyProtection="1">
      <alignment horizontal="center" vertical="center" wrapText="1"/>
      <protection locked="0"/>
    </xf>
    <xf numFmtId="0" fontId="7" fillId="3" borderId="34" xfId="0" applyFont="1" applyFill="1" applyBorder="1" applyAlignment="1" applyProtection="1">
      <alignment horizontal="center" vertical="center" wrapText="1"/>
      <protection locked="0"/>
    </xf>
    <xf numFmtId="0" fontId="7" fillId="3" borderId="48" xfId="0" applyFont="1" applyFill="1" applyBorder="1" applyAlignment="1" applyProtection="1">
      <alignment horizontal="center" vertical="center"/>
      <protection locked="0"/>
    </xf>
    <xf numFmtId="0" fontId="7" fillId="3" borderId="50" xfId="0" applyFont="1" applyFill="1" applyBorder="1" applyAlignment="1" applyProtection="1">
      <alignment horizontal="center" vertical="center"/>
      <protection locked="0"/>
    </xf>
    <xf numFmtId="0" fontId="81" fillId="0" borderId="0" xfId="0" applyFont="1" applyAlignment="1">
      <alignment horizontal="center"/>
    </xf>
    <xf numFmtId="0" fontId="22" fillId="3" borderId="33" xfId="0" applyFont="1" applyFill="1" applyBorder="1" applyAlignment="1">
      <alignment horizontal="center" vertical="center" wrapText="1"/>
    </xf>
    <xf numFmtId="0" fontId="22" fillId="3" borderId="57" xfId="0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6" fillId="5" borderId="59" xfId="0" applyFont="1" applyFill="1" applyBorder="1" applyAlignment="1">
      <alignment horizontal="left" vertical="center" wrapText="1"/>
    </xf>
    <xf numFmtId="0" fontId="6" fillId="5" borderId="58" xfId="0" applyFont="1" applyFill="1" applyBorder="1" applyAlignment="1">
      <alignment horizontal="left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54" xfId="0" applyFont="1" applyFill="1" applyBorder="1" applyAlignment="1">
      <alignment horizontal="center" vertical="center" wrapText="1"/>
    </xf>
    <xf numFmtId="0" fontId="12" fillId="5" borderId="58" xfId="0" applyFont="1" applyFill="1" applyBorder="1" applyAlignment="1">
      <alignment horizontal="left" vertical="center" wrapText="1"/>
    </xf>
    <xf numFmtId="0" fontId="6" fillId="5" borderId="37" xfId="0" applyFont="1" applyFill="1" applyBorder="1" applyAlignment="1">
      <alignment horizontal="left" vertical="center" wrapText="1"/>
    </xf>
    <xf numFmtId="0" fontId="6" fillId="5" borderId="38" xfId="0" applyFont="1" applyFill="1" applyBorder="1" applyAlignment="1">
      <alignment horizontal="left" vertical="center" wrapText="1"/>
    </xf>
    <xf numFmtId="0" fontId="6" fillId="5" borderId="54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center" vertical="center" wrapText="1"/>
    </xf>
  </cellXfs>
  <cellStyles count="22">
    <cellStyle name="0,0_x000d__x000a_NA_x000d__x000a_" xfId="1"/>
    <cellStyle name="0,0_x000d__x000a_NA_x000d__x000a_ 2" xfId="2"/>
    <cellStyle name="Normal_PP2000-2" xfId="3"/>
    <cellStyle name="Normalny_Cennik KOELNER 2002" xfId="4"/>
    <cellStyle name="Гиперссылка" xfId="5" builtinId="8"/>
    <cellStyle name="Гиперссылка 2" xfId="6"/>
    <cellStyle name="Обычный" xfId="0" builtinId="0"/>
    <cellStyle name="Обычный 10" xfId="7"/>
    <cellStyle name="Обычный 2 2" xfId="8"/>
    <cellStyle name="Обычный 2 3" xfId="9"/>
    <cellStyle name="Обычный 2_Pricelist 15.03.11" xfId="10"/>
    <cellStyle name="Обычный 2_Pricelist 15.03.11 2" xfId="21"/>
    <cellStyle name="Обычный 3" xfId="11"/>
    <cellStyle name="Обычный 4" xfId="12"/>
    <cellStyle name="Обычный 5" xfId="13"/>
    <cellStyle name="Обычный 6" xfId="14"/>
    <cellStyle name="Обычный 7" xfId="15"/>
    <cellStyle name="Обычный 8" xfId="16"/>
    <cellStyle name="Обычный 9" xfId="17"/>
    <cellStyle name="Обычный_Дюбельне кріплення" xfId="18"/>
    <cellStyle name="Процентный" xfId="19" builtinId="5"/>
    <cellStyle name="Процентный 2" xfId="2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png"/><Relationship Id="rId3" Type="http://schemas.openxmlformats.org/officeDocument/2006/relationships/image" Target="../media/image58.png"/><Relationship Id="rId21" Type="http://schemas.openxmlformats.org/officeDocument/2006/relationships/image" Target="../media/image76.jpeg"/><Relationship Id="rId7" Type="http://schemas.openxmlformats.org/officeDocument/2006/relationships/image" Target="../media/image62.pn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png"/><Relationship Id="rId2" Type="http://schemas.openxmlformats.org/officeDocument/2006/relationships/image" Target="../media/image57.pn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5" Type="http://schemas.openxmlformats.org/officeDocument/2006/relationships/image" Target="../media/image60.pn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4" Type="http://schemas.openxmlformats.org/officeDocument/2006/relationships/image" Target="../media/image59.pn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jp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png"/><Relationship Id="rId1" Type="http://schemas.openxmlformats.org/officeDocument/2006/relationships/image" Target="../media/image33.png"/><Relationship Id="rId4" Type="http://schemas.openxmlformats.org/officeDocument/2006/relationships/image" Target="../media/image3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1480038</xdr:colOff>
      <xdr:row>6</xdr:row>
      <xdr:rowOff>117230</xdr:rowOff>
    </xdr:to>
    <xdr:pic>
      <xdr:nvPicPr>
        <xdr:cNvPr id="209068" name="Рисунок 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7692" cy="1084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544286</xdr:colOff>
      <xdr:row>44</xdr:row>
      <xdr:rowOff>58871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45393" cy="74611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24</xdr:col>
      <xdr:colOff>570934</xdr:colOff>
      <xdr:row>76</xdr:row>
      <xdr:rowOff>95250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02286"/>
          <a:ext cx="14872041" cy="5320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13605</xdr:rowOff>
    </xdr:from>
    <xdr:to>
      <xdr:col>24</xdr:col>
      <xdr:colOff>582001</xdr:colOff>
      <xdr:row>128</xdr:row>
      <xdr:rowOff>108857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477748"/>
          <a:ext cx="14883108" cy="8749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81643</xdr:rowOff>
    </xdr:from>
    <xdr:to>
      <xdr:col>24</xdr:col>
      <xdr:colOff>499327</xdr:colOff>
      <xdr:row>173</xdr:row>
      <xdr:rowOff>13607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363214"/>
          <a:ext cx="14800434" cy="8545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163285</xdr:rowOff>
    </xdr:from>
    <xdr:to>
      <xdr:col>24</xdr:col>
      <xdr:colOff>560739</xdr:colOff>
      <xdr:row>215</xdr:row>
      <xdr:rowOff>13606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894892"/>
          <a:ext cx="14861846" cy="687160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214</xdr:row>
      <xdr:rowOff>163285</xdr:rowOff>
    </xdr:from>
    <xdr:to>
      <xdr:col>24</xdr:col>
      <xdr:colOff>544286</xdr:colOff>
      <xdr:row>254</xdr:row>
      <xdr:rowOff>133939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429" y="36752892"/>
          <a:ext cx="14790964" cy="65020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585107</xdr:colOff>
      <xdr:row>62</xdr:row>
      <xdr:rowOff>206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15507" cy="1146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62</xdr:row>
      <xdr:rowOff>0</xdr:rowOff>
    </xdr:from>
    <xdr:to>
      <xdr:col>23</xdr:col>
      <xdr:colOff>571500</xdr:colOff>
      <xdr:row>128</xdr:row>
      <xdr:rowOff>117468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7" y="11468100"/>
          <a:ext cx="14483443" cy="109283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1114425</xdr:colOff>
      <xdr:row>1</xdr:row>
      <xdr:rowOff>276225</xdr:rowOff>
    </xdr:from>
    <xdr:to>
      <xdr:col>5</xdr:col>
      <xdr:colOff>323850</xdr:colOff>
      <xdr:row>1</xdr:row>
      <xdr:rowOff>1123950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47675"/>
          <a:ext cx="9334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247650</xdr:rowOff>
    </xdr:from>
    <xdr:to>
      <xdr:col>3</xdr:col>
      <xdr:colOff>962025</xdr:colOff>
      <xdr:row>1</xdr:row>
      <xdr:rowOff>952500</xdr:rowOff>
    </xdr:to>
    <xdr:pic>
      <xdr:nvPicPr>
        <xdr:cNvPr id="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19100"/>
          <a:ext cx="1219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6</xdr:row>
      <xdr:rowOff>47625</xdr:rowOff>
    </xdr:from>
    <xdr:to>
      <xdr:col>5</xdr:col>
      <xdr:colOff>533400</xdr:colOff>
      <xdr:row>6</xdr:row>
      <xdr:rowOff>638175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057525"/>
          <a:ext cx="952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4</xdr:row>
      <xdr:rowOff>161925</xdr:rowOff>
    </xdr:from>
    <xdr:to>
      <xdr:col>5</xdr:col>
      <xdr:colOff>581025</xdr:colOff>
      <xdr:row>5</xdr:row>
      <xdr:rowOff>266700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3907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523876</xdr:colOff>
      <xdr:row>6</xdr:row>
      <xdr:rowOff>38100</xdr:rowOff>
    </xdr:from>
    <xdr:to>
      <xdr:col>4</xdr:col>
      <xdr:colOff>38101</xdr:colOff>
      <xdr:row>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3048000"/>
          <a:ext cx="647700" cy="647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1</xdr:row>
      <xdr:rowOff>76200</xdr:rowOff>
    </xdr:from>
    <xdr:to>
      <xdr:col>5</xdr:col>
      <xdr:colOff>371475</xdr:colOff>
      <xdr:row>1</xdr:row>
      <xdr:rowOff>800100</xdr:rowOff>
    </xdr:to>
    <xdr:pic>
      <xdr:nvPicPr>
        <xdr:cNvPr id="22144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94322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2933700</xdr:colOff>
      <xdr:row>5</xdr:row>
      <xdr:rowOff>47625</xdr:rowOff>
    </xdr:from>
    <xdr:to>
      <xdr:col>5</xdr:col>
      <xdr:colOff>581025</xdr:colOff>
      <xdr:row>5</xdr:row>
      <xdr:rowOff>828675</xdr:rowOff>
    </xdr:to>
    <xdr:pic>
      <xdr:nvPicPr>
        <xdr:cNvPr id="22144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5048250"/>
          <a:ext cx="2066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79741</xdr:colOff>
      <xdr:row>9</xdr:row>
      <xdr:rowOff>20435</xdr:rowOff>
    </xdr:from>
    <xdr:to>
      <xdr:col>5</xdr:col>
      <xdr:colOff>553065</xdr:colOff>
      <xdr:row>9</xdr:row>
      <xdr:rowOff>492030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8672" y="7532895"/>
          <a:ext cx="473324" cy="471595"/>
        </a:xfrm>
        <a:prstGeom prst="rect">
          <a:avLst/>
        </a:prstGeom>
        <a:effectLst>
          <a:glow>
            <a:schemeClr val="accent1"/>
          </a:glow>
          <a:reflection endPos="0" dir="5400000" sy="-100000" algn="bl" rotWithShape="0"/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0</xdr:row>
      <xdr:rowOff>0</xdr:rowOff>
    </xdr:from>
    <xdr:to>
      <xdr:col>4</xdr:col>
      <xdr:colOff>1314450</xdr:colOff>
      <xdr:row>1</xdr:row>
      <xdr:rowOff>247650</xdr:rowOff>
    </xdr:to>
    <xdr:pic>
      <xdr:nvPicPr>
        <xdr:cNvPr id="222782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0"/>
          <a:ext cx="942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0</xdr:row>
      <xdr:rowOff>66675</xdr:rowOff>
    </xdr:from>
    <xdr:to>
      <xdr:col>4</xdr:col>
      <xdr:colOff>238125</xdr:colOff>
      <xdr:row>2</xdr:row>
      <xdr:rowOff>0</xdr:rowOff>
    </xdr:to>
    <xdr:pic>
      <xdr:nvPicPr>
        <xdr:cNvPr id="222783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66675"/>
          <a:ext cx="1400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4</xdr:row>
      <xdr:rowOff>19050</xdr:rowOff>
    </xdr:from>
    <xdr:to>
      <xdr:col>4</xdr:col>
      <xdr:colOff>1295400</xdr:colOff>
      <xdr:row>4</xdr:row>
      <xdr:rowOff>542925</xdr:rowOff>
    </xdr:to>
    <xdr:pic>
      <xdr:nvPicPr>
        <xdr:cNvPr id="222784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190625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14</xdr:row>
      <xdr:rowOff>28575</xdr:rowOff>
    </xdr:from>
    <xdr:to>
      <xdr:col>4</xdr:col>
      <xdr:colOff>1285875</xdr:colOff>
      <xdr:row>14</xdr:row>
      <xdr:rowOff>609600</xdr:rowOff>
    </xdr:to>
    <xdr:pic>
      <xdr:nvPicPr>
        <xdr:cNvPr id="22278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3248025"/>
          <a:ext cx="1514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24</xdr:row>
      <xdr:rowOff>76200</xdr:rowOff>
    </xdr:from>
    <xdr:to>
      <xdr:col>4</xdr:col>
      <xdr:colOff>1238250</xdr:colOff>
      <xdr:row>24</xdr:row>
      <xdr:rowOff>590550</xdr:rowOff>
    </xdr:to>
    <xdr:pic>
      <xdr:nvPicPr>
        <xdr:cNvPr id="222786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5381625"/>
          <a:ext cx="1219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32</xdr:row>
      <xdr:rowOff>85725</xdr:rowOff>
    </xdr:from>
    <xdr:to>
      <xdr:col>4</xdr:col>
      <xdr:colOff>1295400</xdr:colOff>
      <xdr:row>32</xdr:row>
      <xdr:rowOff>647700</xdr:rowOff>
    </xdr:to>
    <xdr:pic>
      <xdr:nvPicPr>
        <xdr:cNvPr id="222787" name="Рисунок 4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7239000"/>
          <a:ext cx="1238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55</xdr:row>
      <xdr:rowOff>152400</xdr:rowOff>
    </xdr:from>
    <xdr:to>
      <xdr:col>4</xdr:col>
      <xdr:colOff>1152525</xdr:colOff>
      <xdr:row>55</xdr:row>
      <xdr:rowOff>447675</xdr:rowOff>
    </xdr:to>
    <xdr:pic>
      <xdr:nvPicPr>
        <xdr:cNvPr id="222788" name="Рисунок 4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13782675"/>
          <a:ext cx="1543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42</xdr:row>
      <xdr:rowOff>28575</xdr:rowOff>
    </xdr:from>
    <xdr:to>
      <xdr:col>4</xdr:col>
      <xdr:colOff>1047750</xdr:colOff>
      <xdr:row>42</xdr:row>
      <xdr:rowOff>838200</xdr:rowOff>
    </xdr:to>
    <xdr:pic>
      <xdr:nvPicPr>
        <xdr:cNvPr id="222789" name="Рисунок 46" descr="7тарелка дожимная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9906000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45</xdr:row>
      <xdr:rowOff>28575</xdr:rowOff>
    </xdr:from>
    <xdr:to>
      <xdr:col>4</xdr:col>
      <xdr:colOff>1247775</xdr:colOff>
      <xdr:row>46</xdr:row>
      <xdr:rowOff>9525</xdr:rowOff>
    </xdr:to>
    <xdr:pic>
      <xdr:nvPicPr>
        <xdr:cNvPr id="222790" name="Рисунок 109" descr="7-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1125200"/>
          <a:ext cx="1095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942975</xdr:colOff>
      <xdr:row>39</xdr:row>
      <xdr:rowOff>38100</xdr:rowOff>
    </xdr:from>
    <xdr:to>
      <xdr:col>4</xdr:col>
      <xdr:colOff>1200150</xdr:colOff>
      <xdr:row>39</xdr:row>
      <xdr:rowOff>628650</xdr:rowOff>
    </xdr:to>
    <xdr:pic>
      <xdr:nvPicPr>
        <xdr:cNvPr id="222791" name="Рисунок 70" descr="15_дріва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8877300"/>
          <a:ext cx="13239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63</xdr:row>
      <xdr:rowOff>28575</xdr:rowOff>
    </xdr:from>
    <xdr:to>
      <xdr:col>4</xdr:col>
      <xdr:colOff>1152525</xdr:colOff>
      <xdr:row>63</xdr:row>
      <xdr:rowOff>581025</xdr:rowOff>
    </xdr:to>
    <xdr:pic>
      <xdr:nvPicPr>
        <xdr:cNvPr id="222792" name="Рисунок 50" descr="17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536382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95250</xdr:rowOff>
    </xdr:from>
    <xdr:to>
      <xdr:col>4</xdr:col>
      <xdr:colOff>1247775</xdr:colOff>
      <xdr:row>83</xdr:row>
      <xdr:rowOff>723900</xdr:rowOff>
    </xdr:to>
    <xdr:pic>
      <xdr:nvPicPr>
        <xdr:cNvPr id="222793" name="Рисунок 51" descr="19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9335750"/>
          <a:ext cx="1133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97</xdr:row>
      <xdr:rowOff>28575</xdr:rowOff>
    </xdr:from>
    <xdr:to>
      <xdr:col>4</xdr:col>
      <xdr:colOff>1200150</xdr:colOff>
      <xdr:row>97</xdr:row>
      <xdr:rowOff>552450</xdr:rowOff>
    </xdr:to>
    <xdr:pic>
      <xdr:nvPicPr>
        <xdr:cNvPr id="222794" name="Рисунок 52" descr="18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2126575"/>
          <a:ext cx="1009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102</xdr:row>
      <xdr:rowOff>28575</xdr:rowOff>
    </xdr:from>
    <xdr:to>
      <xdr:col>4</xdr:col>
      <xdr:colOff>1209675</xdr:colOff>
      <xdr:row>102</xdr:row>
      <xdr:rowOff>581025</xdr:rowOff>
    </xdr:to>
    <xdr:pic>
      <xdr:nvPicPr>
        <xdr:cNvPr id="222795" name="Рисунок 53" descr="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3355300"/>
          <a:ext cx="1038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115</xdr:row>
      <xdr:rowOff>9525</xdr:rowOff>
    </xdr:from>
    <xdr:to>
      <xdr:col>4</xdr:col>
      <xdr:colOff>1228725</xdr:colOff>
      <xdr:row>116</xdr:row>
      <xdr:rowOff>0</xdr:rowOff>
    </xdr:to>
    <xdr:pic>
      <xdr:nvPicPr>
        <xdr:cNvPr id="222796" name="Рисунок 54" descr="20_з комирцем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6412825"/>
          <a:ext cx="1095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119</xdr:row>
      <xdr:rowOff>28575</xdr:rowOff>
    </xdr:from>
    <xdr:to>
      <xdr:col>4</xdr:col>
      <xdr:colOff>1162050</xdr:colOff>
      <xdr:row>119</xdr:row>
      <xdr:rowOff>714375</xdr:rowOff>
    </xdr:to>
    <xdr:pic>
      <xdr:nvPicPr>
        <xdr:cNvPr id="222797" name="Рисунок 55" descr="11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27612975"/>
          <a:ext cx="1143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156</xdr:row>
      <xdr:rowOff>28575</xdr:rowOff>
    </xdr:from>
    <xdr:to>
      <xdr:col>4</xdr:col>
      <xdr:colOff>1143000</xdr:colOff>
      <xdr:row>156</xdr:row>
      <xdr:rowOff>514350</xdr:rowOff>
    </xdr:to>
    <xdr:pic>
      <xdr:nvPicPr>
        <xdr:cNvPr id="222798" name="Рисунок 88" descr="24-2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35156775"/>
          <a:ext cx="876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176</xdr:row>
      <xdr:rowOff>28575</xdr:rowOff>
    </xdr:from>
    <xdr:to>
      <xdr:col>4</xdr:col>
      <xdr:colOff>1133475</xdr:colOff>
      <xdr:row>176</xdr:row>
      <xdr:rowOff>466725</xdr:rowOff>
    </xdr:to>
    <xdr:pic>
      <xdr:nvPicPr>
        <xdr:cNvPr id="222799" name="Рисунок 90" descr="24Саморізи з пресшабою з буром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9214425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133</xdr:row>
      <xdr:rowOff>47625</xdr:rowOff>
    </xdr:from>
    <xdr:to>
      <xdr:col>4</xdr:col>
      <xdr:colOff>1209675</xdr:colOff>
      <xdr:row>133</xdr:row>
      <xdr:rowOff>466725</xdr:rowOff>
    </xdr:to>
    <xdr:pic>
      <xdr:nvPicPr>
        <xdr:cNvPr id="222800" name="Рисунок 91" descr="25Саморізи для кріплення сендвіч-панелей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0718125"/>
          <a:ext cx="1828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185</xdr:row>
      <xdr:rowOff>85725</xdr:rowOff>
    </xdr:from>
    <xdr:to>
      <xdr:col>3</xdr:col>
      <xdr:colOff>304800</xdr:colOff>
      <xdr:row>185</xdr:row>
      <xdr:rowOff>485775</xdr:rowOff>
    </xdr:to>
    <xdr:pic>
      <xdr:nvPicPr>
        <xdr:cNvPr id="222801" name="Рисунок 10" descr="images (2)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41043225"/>
          <a:ext cx="1495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185</xdr:row>
      <xdr:rowOff>85725</xdr:rowOff>
    </xdr:from>
    <xdr:to>
      <xdr:col>4</xdr:col>
      <xdr:colOff>1133475</xdr:colOff>
      <xdr:row>185</xdr:row>
      <xdr:rowOff>476250</xdr:rowOff>
    </xdr:to>
    <xdr:pic>
      <xdr:nvPicPr>
        <xdr:cNvPr id="222802" name="Рисунок 9" descr="2_10_258040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41043225"/>
          <a:ext cx="1571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201</xdr:row>
      <xdr:rowOff>133350</xdr:rowOff>
    </xdr:from>
    <xdr:to>
      <xdr:col>4</xdr:col>
      <xdr:colOff>1190625</xdr:colOff>
      <xdr:row>201</xdr:row>
      <xdr:rowOff>457200</xdr:rowOff>
    </xdr:to>
    <xdr:pic>
      <xdr:nvPicPr>
        <xdr:cNvPr id="222803" name="Рисунок 27" descr="5271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44100750"/>
          <a:ext cx="942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133</xdr:row>
      <xdr:rowOff>47625</xdr:rowOff>
    </xdr:from>
    <xdr:to>
      <xdr:col>3</xdr:col>
      <xdr:colOff>257175</xdr:colOff>
      <xdr:row>133</xdr:row>
      <xdr:rowOff>466725</xdr:rowOff>
    </xdr:to>
    <xdr:pic>
      <xdr:nvPicPr>
        <xdr:cNvPr id="222804" name="Рисунок 85" descr="22-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0718125"/>
          <a:ext cx="447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142</xdr:row>
      <xdr:rowOff>19050</xdr:rowOff>
    </xdr:from>
    <xdr:to>
      <xdr:col>4</xdr:col>
      <xdr:colOff>1266825</xdr:colOff>
      <xdr:row>143</xdr:row>
      <xdr:rowOff>9525</xdr:rowOff>
    </xdr:to>
    <xdr:pic>
      <xdr:nvPicPr>
        <xdr:cNvPr id="222805" name="Рисунок 93" descr="26Заклепка витяжна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32489775"/>
          <a:ext cx="1943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205</xdr:row>
      <xdr:rowOff>85725</xdr:rowOff>
    </xdr:from>
    <xdr:to>
      <xdr:col>4</xdr:col>
      <xdr:colOff>1171575</xdr:colOff>
      <xdr:row>205</xdr:row>
      <xdr:rowOff>523875</xdr:rowOff>
    </xdr:to>
    <xdr:pic>
      <xdr:nvPicPr>
        <xdr:cNvPr id="222806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45081825"/>
          <a:ext cx="3962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213</xdr:row>
      <xdr:rowOff>47625</xdr:rowOff>
    </xdr:from>
    <xdr:to>
      <xdr:col>4</xdr:col>
      <xdr:colOff>1247775</xdr:colOff>
      <xdr:row>214</xdr:row>
      <xdr:rowOff>9525</xdr:rowOff>
    </xdr:to>
    <xdr:pic>
      <xdr:nvPicPr>
        <xdr:cNvPr id="222807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68630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11258</xdr:colOff>
      <xdr:row>5</xdr:row>
      <xdr:rowOff>155863</xdr:rowOff>
    </xdr:from>
    <xdr:to>
      <xdr:col>12</xdr:col>
      <xdr:colOff>529072</xdr:colOff>
      <xdr:row>8</xdr:row>
      <xdr:rowOff>9525</xdr:rowOff>
    </xdr:to>
    <xdr:pic>
      <xdr:nvPicPr>
        <xdr:cNvPr id="223305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644" y="978477"/>
          <a:ext cx="517814" cy="555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519545</xdr:colOff>
      <xdr:row>33</xdr:row>
      <xdr:rowOff>164523</xdr:rowOff>
    </xdr:from>
    <xdr:to>
      <xdr:col>13</xdr:col>
      <xdr:colOff>0</xdr:colOff>
      <xdr:row>38</xdr:row>
      <xdr:rowOff>0</xdr:rowOff>
    </xdr:to>
    <xdr:sp macro="" textlink="">
      <xdr:nvSpPr>
        <xdr:cNvPr id="10" name="10-конечная звезда 9"/>
        <xdr:cNvSpPr/>
      </xdr:nvSpPr>
      <xdr:spPr>
        <a:xfrm>
          <a:off x="5359977" y="7784523"/>
          <a:ext cx="865909" cy="987136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00" b="1" i="0"/>
            <a:t>АКЦИЯ*</a:t>
          </a:r>
        </a:p>
      </xdr:txBody>
    </xdr:sp>
    <xdr:clientData/>
  </xdr:twoCellAnchor>
  <xdr:twoCellAnchor>
    <xdr:from>
      <xdr:col>0</xdr:col>
      <xdr:colOff>0</xdr:colOff>
      <xdr:row>37</xdr:row>
      <xdr:rowOff>138545</xdr:rowOff>
    </xdr:from>
    <xdr:to>
      <xdr:col>1</xdr:col>
      <xdr:colOff>164523</xdr:colOff>
      <xdr:row>40</xdr:row>
      <xdr:rowOff>69272</xdr:rowOff>
    </xdr:to>
    <xdr:sp macro="" textlink="">
      <xdr:nvSpPr>
        <xdr:cNvPr id="14" name="10-конечная звезда 13"/>
        <xdr:cNvSpPr/>
      </xdr:nvSpPr>
      <xdr:spPr>
        <a:xfrm>
          <a:off x="0" y="9429750"/>
          <a:ext cx="580159" cy="597477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600" b="1" i="0"/>
            <a:t>АКЦИЯ*</a:t>
          </a:r>
        </a:p>
      </xdr:txBody>
    </xdr:sp>
    <xdr:clientData/>
  </xdr:twoCellAnchor>
  <xdr:twoCellAnchor editAs="oneCell">
    <xdr:from>
      <xdr:col>9</xdr:col>
      <xdr:colOff>484909</xdr:colOff>
      <xdr:row>30</xdr:row>
      <xdr:rowOff>121226</xdr:rowOff>
    </xdr:from>
    <xdr:to>
      <xdr:col>12</xdr:col>
      <xdr:colOff>555048</xdr:colOff>
      <xdr:row>32</xdr:row>
      <xdr:rowOff>171449</xdr:rowOff>
    </xdr:to>
    <xdr:pic>
      <xdr:nvPicPr>
        <xdr:cNvPr id="9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341" y="6780067"/>
          <a:ext cx="771525" cy="43122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436355</xdr:colOff>
      <xdr:row>41</xdr:row>
      <xdr:rowOff>132522</xdr:rowOff>
    </xdr:from>
    <xdr:to>
      <xdr:col>8</xdr:col>
      <xdr:colOff>457711</xdr:colOff>
      <xdr:row>41</xdr:row>
      <xdr:rowOff>472108</xdr:rowOff>
    </xdr:to>
    <xdr:pic>
      <xdr:nvPicPr>
        <xdr:cNvPr id="21757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2000" contrast="3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4464" y="5897218"/>
          <a:ext cx="1429399" cy="339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371475</xdr:colOff>
      <xdr:row>0</xdr:row>
      <xdr:rowOff>76200</xdr:rowOff>
    </xdr:from>
    <xdr:to>
      <xdr:col>11</xdr:col>
      <xdr:colOff>512234</xdr:colOff>
      <xdr:row>1</xdr:row>
      <xdr:rowOff>352425</xdr:rowOff>
    </xdr:to>
    <xdr:pic>
      <xdr:nvPicPr>
        <xdr:cNvPr id="21757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7620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76200</xdr:rowOff>
    </xdr:from>
    <xdr:to>
      <xdr:col>8</xdr:col>
      <xdr:colOff>306916</xdr:colOff>
      <xdr:row>1</xdr:row>
      <xdr:rowOff>352425</xdr:rowOff>
    </xdr:to>
    <xdr:pic>
      <xdr:nvPicPr>
        <xdr:cNvPr id="217573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20108</xdr:colOff>
      <xdr:row>45</xdr:row>
      <xdr:rowOff>21167</xdr:rowOff>
    </xdr:from>
    <xdr:to>
      <xdr:col>8</xdr:col>
      <xdr:colOff>571500</xdr:colOff>
      <xdr:row>46</xdr:row>
      <xdr:rowOff>266149</xdr:rowOff>
    </xdr:to>
    <xdr:pic>
      <xdr:nvPicPr>
        <xdr:cNvPr id="217575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358" y="7080250"/>
          <a:ext cx="1503892" cy="520149"/>
        </a:xfrm>
        <a:prstGeom prst="rect">
          <a:avLst/>
        </a:prstGeom>
        <a:noFill/>
        <a:ln>
          <a:noFill/>
        </a:ln>
        <a:effectLst>
          <a:outerShdw sx="999" sy="999" algn="ctr" rotWithShape="0">
            <a:srgbClr val="000000">
              <a:alpha val="1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182218</xdr:colOff>
      <xdr:row>0</xdr:row>
      <xdr:rowOff>0</xdr:rowOff>
    </xdr:from>
    <xdr:to>
      <xdr:col>6</xdr:col>
      <xdr:colOff>99392</xdr:colOff>
      <xdr:row>1</xdr:row>
      <xdr:rowOff>346895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870" y="0"/>
          <a:ext cx="679174" cy="479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13</xdr:row>
      <xdr:rowOff>9525</xdr:rowOff>
    </xdr:from>
    <xdr:to>
      <xdr:col>11</xdr:col>
      <xdr:colOff>695325</xdr:colOff>
      <xdr:row>13</xdr:row>
      <xdr:rowOff>371475</xdr:rowOff>
    </xdr:to>
    <xdr:pic>
      <xdr:nvPicPr>
        <xdr:cNvPr id="19931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" contras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562927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619125</xdr:colOff>
      <xdr:row>0</xdr:row>
      <xdr:rowOff>133350</xdr:rowOff>
    </xdr:from>
    <xdr:to>
      <xdr:col>11</xdr:col>
      <xdr:colOff>638175</xdr:colOff>
      <xdr:row>2</xdr:row>
      <xdr:rowOff>9525</xdr:rowOff>
    </xdr:to>
    <xdr:pic>
      <xdr:nvPicPr>
        <xdr:cNvPr id="19931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4000" contrast="2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33350"/>
          <a:ext cx="1419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609600</xdr:colOff>
      <xdr:row>18</xdr:row>
      <xdr:rowOff>0</xdr:rowOff>
    </xdr:from>
    <xdr:to>
      <xdr:col>11</xdr:col>
      <xdr:colOff>685800</xdr:colOff>
      <xdr:row>19</xdr:row>
      <xdr:rowOff>15398</xdr:rowOff>
    </xdr:to>
    <xdr:pic>
      <xdr:nvPicPr>
        <xdr:cNvPr id="199315" name="Picture 244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7277100"/>
          <a:ext cx="1476375" cy="44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619125</xdr:colOff>
      <xdr:row>8</xdr:row>
      <xdr:rowOff>19050</xdr:rowOff>
    </xdr:from>
    <xdr:to>
      <xdr:col>11</xdr:col>
      <xdr:colOff>638175</xdr:colOff>
      <xdr:row>9</xdr:row>
      <xdr:rowOff>0</xdr:rowOff>
    </xdr:to>
    <xdr:pic>
      <xdr:nvPicPr>
        <xdr:cNvPr id="6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4000" contrast="2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67150"/>
          <a:ext cx="1419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228598</xdr:colOff>
      <xdr:row>10</xdr:row>
      <xdr:rowOff>76200</xdr:rowOff>
    </xdr:from>
    <xdr:to>
      <xdr:col>10</xdr:col>
      <xdr:colOff>586740</xdr:colOff>
      <xdr:row>13</xdr:row>
      <xdr:rowOff>342900</xdr:rowOff>
    </xdr:to>
    <xdr:sp macro="" textlink="">
      <xdr:nvSpPr>
        <xdr:cNvPr id="2" name="10-конечная звезда 1"/>
        <xdr:cNvSpPr/>
      </xdr:nvSpPr>
      <xdr:spPr>
        <a:xfrm>
          <a:off x="4937758" y="3870960"/>
          <a:ext cx="1135382" cy="830580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 i="0"/>
            <a:t>АКЦИЯ*</a:t>
          </a:r>
        </a:p>
      </xdr:txBody>
    </xdr:sp>
    <xdr:clientData/>
  </xdr:twoCellAnchor>
  <xdr:twoCellAnchor>
    <xdr:from>
      <xdr:col>8</xdr:col>
      <xdr:colOff>133350</xdr:colOff>
      <xdr:row>15</xdr:row>
      <xdr:rowOff>266700</xdr:rowOff>
    </xdr:from>
    <xdr:to>
      <xdr:col>9</xdr:col>
      <xdr:colOff>561976</xdr:colOff>
      <xdr:row>18</xdr:row>
      <xdr:rowOff>371475</xdr:rowOff>
    </xdr:to>
    <xdr:sp macro="" textlink="">
      <xdr:nvSpPr>
        <xdr:cNvPr id="9" name="10-конечная звезда 8"/>
        <xdr:cNvSpPr/>
      </xdr:nvSpPr>
      <xdr:spPr>
        <a:xfrm>
          <a:off x="4086225" y="6076950"/>
          <a:ext cx="1047751" cy="1000125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 i="0"/>
            <a:t>АКЦИЯ*</a:t>
          </a:r>
        </a:p>
      </xdr:txBody>
    </xdr:sp>
    <xdr:clientData/>
  </xdr:twoCellAnchor>
  <xdr:twoCellAnchor>
    <xdr:from>
      <xdr:col>8</xdr:col>
      <xdr:colOff>476249</xdr:colOff>
      <xdr:row>20</xdr:row>
      <xdr:rowOff>481964</xdr:rowOff>
    </xdr:from>
    <xdr:to>
      <xdr:col>10</xdr:col>
      <xdr:colOff>114300</xdr:colOff>
      <xdr:row>25</xdr:row>
      <xdr:rowOff>194309</xdr:rowOff>
    </xdr:to>
    <xdr:sp macro="" textlink="">
      <xdr:nvSpPr>
        <xdr:cNvPr id="11" name="10-конечная звезда 10"/>
        <xdr:cNvSpPr/>
      </xdr:nvSpPr>
      <xdr:spPr>
        <a:xfrm>
          <a:off x="4545329" y="6997064"/>
          <a:ext cx="1055371" cy="1076325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 i="0"/>
            <a:t>АКЦИЯ*</a:t>
          </a:r>
        </a:p>
      </xdr:txBody>
    </xdr:sp>
    <xdr:clientData/>
  </xdr:twoCellAnchor>
  <xdr:twoCellAnchor>
    <xdr:from>
      <xdr:col>0</xdr:col>
      <xdr:colOff>152401</xdr:colOff>
      <xdr:row>24</xdr:row>
      <xdr:rowOff>1</xdr:rowOff>
    </xdr:from>
    <xdr:to>
      <xdr:col>1</xdr:col>
      <xdr:colOff>704851</xdr:colOff>
      <xdr:row>28</xdr:row>
      <xdr:rowOff>1</xdr:rowOff>
    </xdr:to>
    <xdr:sp macro="" textlink="">
      <xdr:nvSpPr>
        <xdr:cNvPr id="13" name="10-конечная звезда 12"/>
        <xdr:cNvSpPr/>
      </xdr:nvSpPr>
      <xdr:spPr>
        <a:xfrm>
          <a:off x="152401" y="8743951"/>
          <a:ext cx="1009650" cy="990600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 i="0"/>
            <a:t>АКЦИЯ*</a:t>
          </a:r>
        </a:p>
      </xdr:txBody>
    </xdr:sp>
    <xdr:clientData/>
  </xdr:twoCellAnchor>
  <xdr:twoCellAnchor>
    <xdr:from>
      <xdr:col>9</xdr:col>
      <xdr:colOff>487680</xdr:colOff>
      <xdr:row>5</xdr:row>
      <xdr:rowOff>190500</xdr:rowOff>
    </xdr:from>
    <xdr:to>
      <xdr:col>11</xdr:col>
      <xdr:colOff>91438</xdr:colOff>
      <xdr:row>8</xdr:row>
      <xdr:rowOff>89536</xdr:rowOff>
    </xdr:to>
    <xdr:sp macro="" textlink="">
      <xdr:nvSpPr>
        <xdr:cNvPr id="10" name="10-конечная звезда 9"/>
        <xdr:cNvSpPr/>
      </xdr:nvSpPr>
      <xdr:spPr>
        <a:xfrm>
          <a:off x="5196840" y="1409700"/>
          <a:ext cx="1043938" cy="577216"/>
        </a:xfrm>
        <a:prstGeom prst="star10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 i="0"/>
            <a:t>АКЦИЯ*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8</xdr:row>
      <xdr:rowOff>47625</xdr:rowOff>
    </xdr:from>
    <xdr:to>
      <xdr:col>10</xdr:col>
      <xdr:colOff>628650</xdr:colOff>
      <xdr:row>8</xdr:row>
      <xdr:rowOff>371475</xdr:rowOff>
    </xdr:to>
    <xdr:pic>
      <xdr:nvPicPr>
        <xdr:cNvPr id="215553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562225"/>
          <a:ext cx="819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552450</xdr:colOff>
      <xdr:row>4</xdr:row>
      <xdr:rowOff>28575</xdr:rowOff>
    </xdr:from>
    <xdr:to>
      <xdr:col>10</xdr:col>
      <xdr:colOff>647700</xdr:colOff>
      <xdr:row>4</xdr:row>
      <xdr:rowOff>390525</xdr:rowOff>
    </xdr:to>
    <xdr:pic>
      <xdr:nvPicPr>
        <xdr:cNvPr id="21555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600200"/>
          <a:ext cx="904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15</xdr:row>
      <xdr:rowOff>28575</xdr:rowOff>
    </xdr:from>
    <xdr:to>
      <xdr:col>10</xdr:col>
      <xdr:colOff>552450</xdr:colOff>
      <xdr:row>15</xdr:row>
      <xdr:rowOff>381000</xdr:rowOff>
    </xdr:to>
    <xdr:pic>
      <xdr:nvPicPr>
        <xdr:cNvPr id="21555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45339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1</xdr:row>
      <xdr:rowOff>190500</xdr:rowOff>
    </xdr:from>
    <xdr:to>
      <xdr:col>10</xdr:col>
      <xdr:colOff>781050</xdr:colOff>
      <xdr:row>1</xdr:row>
      <xdr:rowOff>733425</xdr:rowOff>
    </xdr:to>
    <xdr:pic>
      <xdr:nvPicPr>
        <xdr:cNvPr id="215556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81000"/>
          <a:ext cx="2286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238125</xdr:rowOff>
    </xdr:from>
    <xdr:to>
      <xdr:col>3</xdr:col>
      <xdr:colOff>295275</xdr:colOff>
      <xdr:row>1</xdr:row>
      <xdr:rowOff>695325</xdr:rowOff>
    </xdr:to>
    <xdr:pic>
      <xdr:nvPicPr>
        <xdr:cNvPr id="21555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1847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</xdr:row>
      <xdr:rowOff>242455</xdr:rowOff>
    </xdr:from>
    <xdr:to>
      <xdr:col>7</xdr:col>
      <xdr:colOff>363684</xdr:colOff>
      <xdr:row>1</xdr:row>
      <xdr:rowOff>714376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50" t="10105" r="84358" b="80598"/>
        <a:stretch/>
      </xdr:blipFill>
      <xdr:spPr>
        <a:xfrm>
          <a:off x="1991593" y="432955"/>
          <a:ext cx="1887682" cy="471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17317</xdr:rowOff>
    </xdr:from>
    <xdr:to>
      <xdr:col>0</xdr:col>
      <xdr:colOff>1030432</xdr:colOff>
      <xdr:row>4</xdr:row>
      <xdr:rowOff>619124</xdr:rowOff>
    </xdr:to>
    <xdr:pic>
      <xdr:nvPicPr>
        <xdr:cNvPr id="4" name="Obraz 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75978"/>
          <a:ext cx="1030432" cy="601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6212</xdr:colOff>
      <xdr:row>23</xdr:row>
      <xdr:rowOff>13608</xdr:rowOff>
    </xdr:from>
    <xdr:to>
      <xdr:col>0</xdr:col>
      <xdr:colOff>1044437</xdr:colOff>
      <xdr:row>24</xdr:row>
      <xdr:rowOff>52224</xdr:rowOff>
    </xdr:to>
    <xdr:pic>
      <xdr:nvPicPr>
        <xdr:cNvPr id="6" name="Obraz 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2" y="12228468"/>
          <a:ext cx="1038225" cy="66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1031298</xdr:colOff>
      <xdr:row>6</xdr:row>
      <xdr:rowOff>302011</xdr:rowOff>
    </xdr:to>
    <xdr:pic>
      <xdr:nvPicPr>
        <xdr:cNvPr id="8" name="Obraz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87682"/>
          <a:ext cx="1031298" cy="657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1031298</xdr:colOff>
      <xdr:row>25</xdr:row>
      <xdr:rowOff>345303</xdr:rowOff>
    </xdr:to>
    <xdr:pic>
      <xdr:nvPicPr>
        <xdr:cNvPr id="10" name="Obraz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200409"/>
          <a:ext cx="1031298" cy="657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1027339</xdr:colOff>
      <xdr:row>8</xdr:row>
      <xdr:rowOff>17316</xdr:rowOff>
    </xdr:to>
    <xdr:pic>
      <xdr:nvPicPr>
        <xdr:cNvPr id="12" name="Obraz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530929"/>
          <a:ext cx="1027339" cy="643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8660</xdr:colOff>
      <xdr:row>25</xdr:row>
      <xdr:rowOff>337705</xdr:rowOff>
    </xdr:from>
    <xdr:to>
      <xdr:col>0</xdr:col>
      <xdr:colOff>1030432</xdr:colOff>
      <xdr:row>27</xdr:row>
      <xdr:rowOff>3463</xdr:rowOff>
    </xdr:to>
    <xdr:pic>
      <xdr:nvPicPr>
        <xdr:cNvPr id="14" name="Obraz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0" y="10235046"/>
          <a:ext cx="1021772" cy="649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1021773</xdr:colOff>
      <xdr:row>28</xdr:row>
      <xdr:rowOff>6185</xdr:rowOff>
    </xdr:to>
    <xdr:pic>
      <xdr:nvPicPr>
        <xdr:cNvPr id="16" name="Obraz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884477"/>
          <a:ext cx="1021773" cy="632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1021773</xdr:colOff>
      <xdr:row>9</xdr:row>
      <xdr:rowOff>33195</xdr:rowOff>
    </xdr:to>
    <xdr:pic>
      <xdr:nvPicPr>
        <xdr:cNvPr id="18" name="Obraz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169227"/>
          <a:ext cx="1021773" cy="665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1020536</xdr:colOff>
      <xdr:row>10</xdr:row>
      <xdr:rowOff>14333</xdr:rowOff>
    </xdr:to>
    <xdr:pic>
      <xdr:nvPicPr>
        <xdr:cNvPr id="20" name="Obraz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782786"/>
          <a:ext cx="1020536" cy="640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1020536</xdr:colOff>
      <xdr:row>29</xdr:row>
      <xdr:rowOff>14336</xdr:rowOff>
    </xdr:to>
    <xdr:pic>
      <xdr:nvPicPr>
        <xdr:cNvPr id="21" name="Obraz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831286"/>
          <a:ext cx="1020536" cy="640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1021773</xdr:colOff>
      <xdr:row>30</xdr:row>
      <xdr:rowOff>52434</xdr:rowOff>
    </xdr:to>
    <xdr:pic>
      <xdr:nvPicPr>
        <xdr:cNvPr id="24" name="Obraz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148705"/>
          <a:ext cx="1021773" cy="684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1021773</xdr:colOff>
      <xdr:row>11</xdr:row>
      <xdr:rowOff>52437</xdr:rowOff>
    </xdr:to>
    <xdr:pic>
      <xdr:nvPicPr>
        <xdr:cNvPr id="25" name="Obraz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433455"/>
          <a:ext cx="1021773" cy="684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1013732</xdr:colOff>
      <xdr:row>12</xdr:row>
      <xdr:rowOff>38425</xdr:rowOff>
    </xdr:to>
    <xdr:pic>
      <xdr:nvPicPr>
        <xdr:cNvPr id="27" name="Obraz 2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034643"/>
          <a:ext cx="1013732" cy="664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1013732</xdr:colOff>
      <xdr:row>31</xdr:row>
      <xdr:rowOff>38427</xdr:rowOff>
    </xdr:to>
    <xdr:pic>
      <xdr:nvPicPr>
        <xdr:cNvPr id="29" name="Obraz 2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083143"/>
          <a:ext cx="1013732" cy="664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625928</xdr:rowOff>
    </xdr:from>
    <xdr:to>
      <xdr:col>0</xdr:col>
      <xdr:colOff>1013732</xdr:colOff>
      <xdr:row>14</xdr:row>
      <xdr:rowOff>11642</xdr:rowOff>
    </xdr:to>
    <xdr:pic>
      <xdr:nvPicPr>
        <xdr:cNvPr id="31" name="Obraz 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660571"/>
          <a:ext cx="1013732" cy="66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625928</xdr:rowOff>
    </xdr:from>
    <xdr:to>
      <xdr:col>0</xdr:col>
      <xdr:colOff>1027339</xdr:colOff>
      <xdr:row>33</xdr:row>
      <xdr:rowOff>11643</xdr:rowOff>
    </xdr:to>
    <xdr:pic>
      <xdr:nvPicPr>
        <xdr:cNvPr id="33" name="Obraz 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2709071"/>
          <a:ext cx="1027339" cy="671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1012248</xdr:colOff>
      <xdr:row>15</xdr:row>
      <xdr:rowOff>30211</xdr:rowOff>
    </xdr:to>
    <xdr:pic>
      <xdr:nvPicPr>
        <xdr:cNvPr id="35" name="Obraz 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6355773"/>
          <a:ext cx="1012248" cy="662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1012248</xdr:colOff>
      <xdr:row>34</xdr:row>
      <xdr:rowOff>30210</xdr:rowOff>
    </xdr:to>
    <xdr:pic>
      <xdr:nvPicPr>
        <xdr:cNvPr id="37" name="Obraz 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3464886"/>
          <a:ext cx="1012248" cy="662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1003781</xdr:colOff>
      <xdr:row>16</xdr:row>
      <xdr:rowOff>4647</xdr:rowOff>
    </xdr:to>
    <xdr:pic>
      <xdr:nvPicPr>
        <xdr:cNvPr id="39" name="Obraz 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987886"/>
          <a:ext cx="1003781" cy="63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625928</xdr:rowOff>
    </xdr:from>
    <xdr:to>
      <xdr:col>0</xdr:col>
      <xdr:colOff>1020536</xdr:colOff>
      <xdr:row>35</xdr:row>
      <xdr:rowOff>4646</xdr:rowOff>
    </xdr:to>
    <xdr:pic>
      <xdr:nvPicPr>
        <xdr:cNvPr id="41" name="Obraz 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994946"/>
          <a:ext cx="1020536" cy="63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612320</xdr:rowOff>
    </xdr:from>
    <xdr:to>
      <xdr:col>0</xdr:col>
      <xdr:colOff>1006929</xdr:colOff>
      <xdr:row>16</xdr:row>
      <xdr:rowOff>619125</xdr:rowOff>
    </xdr:to>
    <xdr:pic>
      <xdr:nvPicPr>
        <xdr:cNvPr id="43" name="Obraz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116659"/>
          <a:ext cx="1006929" cy="63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7620</xdr:rowOff>
    </xdr:from>
    <xdr:to>
      <xdr:col>0</xdr:col>
      <xdr:colOff>1020536</xdr:colOff>
      <xdr:row>35</xdr:row>
      <xdr:rowOff>619941</xdr:rowOff>
    </xdr:to>
    <xdr:pic>
      <xdr:nvPicPr>
        <xdr:cNvPr id="45" name="Obraz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8539460"/>
          <a:ext cx="1020536" cy="612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358113</xdr:colOff>
      <xdr:row>0</xdr:row>
      <xdr:rowOff>683449</xdr:rowOff>
    </xdr:from>
    <xdr:to>
      <xdr:col>6</xdr:col>
      <xdr:colOff>847228</xdr:colOff>
      <xdr:row>2</xdr:row>
      <xdr:rowOff>23503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590" y="683449"/>
          <a:ext cx="1874570" cy="569645"/>
        </a:xfrm>
        <a:prstGeom prst="rect">
          <a:avLst/>
        </a:prstGeom>
      </xdr:spPr>
    </xdr:pic>
    <xdr:clientData/>
  </xdr:twoCellAnchor>
  <xdr:twoCellAnchor editAs="oneCell">
    <xdr:from>
      <xdr:col>3</xdr:col>
      <xdr:colOff>186789</xdr:colOff>
      <xdr:row>20</xdr:row>
      <xdr:rowOff>28452</xdr:rowOff>
    </xdr:from>
    <xdr:to>
      <xdr:col>6</xdr:col>
      <xdr:colOff>675904</xdr:colOff>
      <xdr:row>20</xdr:row>
      <xdr:rowOff>606137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016" y="10739747"/>
          <a:ext cx="1874570" cy="5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17</xdr:row>
      <xdr:rowOff>7620</xdr:rowOff>
    </xdr:from>
    <xdr:to>
      <xdr:col>0</xdr:col>
      <xdr:colOff>1011567</xdr:colOff>
      <xdr:row>17</xdr:row>
      <xdr:rowOff>609600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2" t="12222" r="2197" b="19899"/>
        <a:stretch/>
      </xdr:blipFill>
      <xdr:spPr>
        <a:xfrm>
          <a:off x="7621" y="8983980"/>
          <a:ext cx="1003946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18</xdr:row>
      <xdr:rowOff>0</xdr:rowOff>
    </xdr:from>
    <xdr:to>
      <xdr:col>0</xdr:col>
      <xdr:colOff>1011567</xdr:colOff>
      <xdr:row>18</xdr:row>
      <xdr:rowOff>601980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2" t="12222" r="2197" b="19899"/>
        <a:stretch/>
      </xdr:blipFill>
      <xdr:spPr>
        <a:xfrm>
          <a:off x="7621" y="9601200"/>
          <a:ext cx="1003946" cy="6019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85725</xdr:rowOff>
    </xdr:from>
    <xdr:to>
      <xdr:col>6</xdr:col>
      <xdr:colOff>571500</xdr:colOff>
      <xdr:row>2</xdr:row>
      <xdr:rowOff>23812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5725"/>
          <a:ext cx="552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912812</xdr:colOff>
      <xdr:row>0</xdr:row>
      <xdr:rowOff>39687</xdr:rowOff>
    </xdr:from>
    <xdr:to>
      <xdr:col>7</xdr:col>
      <xdr:colOff>14288</xdr:colOff>
      <xdr:row>2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1287" y="39687"/>
          <a:ext cx="2863851" cy="80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127794</xdr:colOff>
      <xdr:row>0</xdr:row>
      <xdr:rowOff>5555</xdr:rowOff>
    </xdr:from>
    <xdr:to>
      <xdr:col>4</xdr:col>
      <xdr:colOff>273843</xdr:colOff>
      <xdr:row>4</xdr:row>
      <xdr:rowOff>19843</xdr:rowOff>
    </xdr:to>
    <xdr:pic>
      <xdr:nvPicPr>
        <xdr:cNvPr id="3" name="Picture 20" descr="лОГО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344" y="5555"/>
          <a:ext cx="2593974" cy="1042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0</xdr:row>
      <xdr:rowOff>61480</xdr:rowOff>
    </xdr:from>
    <xdr:to>
      <xdr:col>7</xdr:col>
      <xdr:colOff>342900</xdr:colOff>
      <xdr:row>1</xdr:row>
      <xdr:rowOff>497898</xdr:rowOff>
    </xdr:to>
    <xdr:pic>
      <xdr:nvPicPr>
        <xdr:cNvPr id="20158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023" y="61480"/>
          <a:ext cx="195349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527339</xdr:colOff>
      <xdr:row>0</xdr:row>
      <xdr:rowOff>46759</xdr:rowOff>
    </xdr:from>
    <xdr:to>
      <xdr:col>9</xdr:col>
      <xdr:colOff>584489</xdr:colOff>
      <xdr:row>1</xdr:row>
      <xdr:rowOff>387927</xdr:rowOff>
    </xdr:to>
    <xdr:pic>
      <xdr:nvPicPr>
        <xdr:cNvPr id="20158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953" y="46759"/>
          <a:ext cx="1226127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11</xdr:row>
      <xdr:rowOff>152400</xdr:rowOff>
    </xdr:from>
    <xdr:to>
      <xdr:col>1</xdr:col>
      <xdr:colOff>190500</xdr:colOff>
      <xdr:row>17</xdr:row>
      <xdr:rowOff>114300</xdr:rowOff>
    </xdr:to>
    <xdr:pic>
      <xdr:nvPicPr>
        <xdr:cNvPr id="201582" name="Picture 49" descr="Deska sufitowa pełn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5718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12</xdr:row>
      <xdr:rowOff>142875</xdr:rowOff>
    </xdr:from>
    <xdr:to>
      <xdr:col>1</xdr:col>
      <xdr:colOff>342900</xdr:colOff>
      <xdr:row>18</xdr:row>
      <xdr:rowOff>114300</xdr:rowOff>
    </xdr:to>
    <xdr:pic>
      <xdr:nvPicPr>
        <xdr:cNvPr id="201583" name="Picture 50" descr="Deska sufitowa pełn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733800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H23"/>
  <sheetViews>
    <sheetView view="pageBreakPreview" topLeftCell="B1" zoomScaleNormal="100" zoomScaleSheetLayoutView="100" workbookViewId="0">
      <selection activeCell="B16" sqref="B16:G16"/>
    </sheetView>
  </sheetViews>
  <sheetFormatPr defaultRowHeight="12.75"/>
  <cols>
    <col min="1" max="1" width="4.5703125" customWidth="1"/>
    <col min="2" max="2" width="26.140625" customWidth="1"/>
    <col min="3" max="3" width="7.28515625" customWidth="1"/>
    <col min="8" max="8" width="22.42578125" customWidth="1"/>
  </cols>
  <sheetData>
    <row r="1" spans="1:8">
      <c r="A1">
        <v>1</v>
      </c>
    </row>
    <row r="8" spans="1:8" ht="15.75" thickBot="1">
      <c r="B8" s="471" t="s">
        <v>774</v>
      </c>
      <c r="C8" s="227"/>
      <c r="D8" s="227"/>
      <c r="E8" s="227"/>
      <c r="F8" s="227"/>
      <c r="G8" s="227"/>
      <c r="H8" s="227"/>
    </row>
    <row r="9" spans="1:8" ht="22.5" thickTop="1" thickBot="1">
      <c r="A9" s="387"/>
      <c r="B9" s="484" t="s">
        <v>538</v>
      </c>
      <c r="C9" s="485"/>
      <c r="D9" s="485"/>
      <c r="E9" s="485"/>
      <c r="F9" s="485"/>
      <c r="G9" s="486"/>
      <c r="H9" s="388" t="s">
        <v>674</v>
      </c>
    </row>
    <row r="10" spans="1:8" ht="18.75" customHeight="1" thickTop="1" thickBot="1">
      <c r="A10" s="389">
        <v>1</v>
      </c>
      <c r="B10" s="487" t="s">
        <v>539</v>
      </c>
      <c r="C10" s="488"/>
      <c r="D10" s="488"/>
      <c r="E10" s="488"/>
      <c r="F10" s="488"/>
      <c r="G10" s="489"/>
      <c r="H10" s="426">
        <v>1</v>
      </c>
    </row>
    <row r="11" spans="1:8" ht="18.75" customHeight="1" thickTop="1" thickBot="1">
      <c r="A11" s="389">
        <v>2</v>
      </c>
      <c r="B11" s="478" t="s">
        <v>540</v>
      </c>
      <c r="C11" s="479"/>
      <c r="D11" s="479"/>
      <c r="E11" s="479"/>
      <c r="F11" s="479"/>
      <c r="G11" s="480"/>
      <c r="H11" s="426">
        <v>2</v>
      </c>
    </row>
    <row r="12" spans="1:8" ht="18.75" customHeight="1" thickTop="1" thickBot="1">
      <c r="A12" s="389">
        <v>3</v>
      </c>
      <c r="B12" s="478" t="s">
        <v>541</v>
      </c>
      <c r="C12" s="479"/>
      <c r="D12" s="479"/>
      <c r="E12" s="479"/>
      <c r="F12" s="479"/>
      <c r="G12" s="480"/>
      <c r="H12" s="426">
        <v>3</v>
      </c>
    </row>
    <row r="13" spans="1:8" ht="18.75" customHeight="1" thickTop="1" thickBot="1">
      <c r="A13" s="389">
        <v>4</v>
      </c>
      <c r="B13" s="478" t="s">
        <v>542</v>
      </c>
      <c r="C13" s="479"/>
      <c r="D13" s="479"/>
      <c r="E13" s="479"/>
      <c r="F13" s="479"/>
      <c r="G13" s="480"/>
      <c r="H13" s="426">
        <v>4</v>
      </c>
    </row>
    <row r="14" spans="1:8" ht="18.75" customHeight="1" thickTop="1" thickBot="1">
      <c r="A14" s="389">
        <v>5</v>
      </c>
      <c r="B14" s="478" t="s">
        <v>725</v>
      </c>
      <c r="C14" s="479"/>
      <c r="D14" s="479"/>
      <c r="E14" s="479"/>
      <c r="F14" s="479"/>
      <c r="G14" s="480"/>
      <c r="H14" s="425" t="s">
        <v>726</v>
      </c>
    </row>
    <row r="15" spans="1:8" ht="18.75" customHeight="1" thickTop="1" thickBot="1">
      <c r="A15" s="389">
        <v>6</v>
      </c>
      <c r="B15" s="478" t="s">
        <v>543</v>
      </c>
      <c r="C15" s="479"/>
      <c r="D15" s="479"/>
      <c r="E15" s="479"/>
      <c r="F15" s="479"/>
      <c r="G15" s="480"/>
      <c r="H15" s="426">
        <v>7</v>
      </c>
    </row>
    <row r="16" spans="1:8" ht="18.75" customHeight="1" thickTop="1" thickBot="1">
      <c r="A16" s="389">
        <v>7</v>
      </c>
      <c r="B16" s="487" t="s">
        <v>544</v>
      </c>
      <c r="C16" s="488"/>
      <c r="D16" s="488"/>
      <c r="E16" s="488"/>
      <c r="F16" s="488"/>
      <c r="G16" s="489"/>
      <c r="H16" s="426">
        <v>8</v>
      </c>
    </row>
    <row r="17" spans="1:8" ht="18.75" customHeight="1" thickTop="1" thickBot="1">
      <c r="A17" s="389">
        <v>8</v>
      </c>
      <c r="B17" s="487" t="s">
        <v>548</v>
      </c>
      <c r="C17" s="488"/>
      <c r="D17" s="488"/>
      <c r="E17" s="488"/>
      <c r="F17" s="488"/>
      <c r="G17" s="489"/>
      <c r="H17" s="426">
        <v>9</v>
      </c>
    </row>
    <row r="18" spans="1:8" ht="18.75" customHeight="1" thickTop="1" thickBot="1">
      <c r="A18" s="389">
        <v>9</v>
      </c>
      <c r="B18" s="487" t="s">
        <v>546</v>
      </c>
      <c r="C18" s="488"/>
      <c r="D18" s="488"/>
      <c r="E18" s="488"/>
      <c r="F18" s="488"/>
      <c r="G18" s="489"/>
      <c r="H18" s="426" t="s">
        <v>727</v>
      </c>
    </row>
    <row r="19" spans="1:8" ht="18.75" customHeight="1" thickTop="1" thickBot="1">
      <c r="A19" s="389">
        <v>10</v>
      </c>
      <c r="B19" s="487" t="s">
        <v>545</v>
      </c>
      <c r="C19" s="488"/>
      <c r="D19" s="488"/>
      <c r="E19" s="488"/>
      <c r="F19" s="488"/>
      <c r="G19" s="489"/>
      <c r="H19" s="426" t="s">
        <v>728</v>
      </c>
    </row>
    <row r="20" spans="1:8" ht="18.75" customHeight="1" thickTop="1" thickBot="1">
      <c r="A20" s="389">
        <v>11</v>
      </c>
      <c r="B20" s="487" t="s">
        <v>547</v>
      </c>
      <c r="C20" s="488"/>
      <c r="D20" s="488"/>
      <c r="E20" s="488"/>
      <c r="F20" s="488"/>
      <c r="G20" s="489"/>
      <c r="H20" s="426">
        <v>14</v>
      </c>
    </row>
    <row r="21" spans="1:8" ht="18.75" customHeight="1" thickTop="1" thickBot="1">
      <c r="A21" s="389">
        <v>12</v>
      </c>
      <c r="B21" s="487" t="s">
        <v>549</v>
      </c>
      <c r="C21" s="488"/>
      <c r="D21" s="488"/>
      <c r="E21" s="488"/>
      <c r="F21" s="488"/>
      <c r="G21" s="489"/>
      <c r="H21" s="426">
        <v>15</v>
      </c>
    </row>
    <row r="22" spans="1:8" ht="59.25" customHeight="1" thickTop="1" thickBot="1">
      <c r="A22" s="481" t="s">
        <v>681</v>
      </c>
      <c r="B22" s="482"/>
      <c r="C22" s="482"/>
      <c r="D22" s="482"/>
      <c r="E22" s="482"/>
      <c r="F22" s="482"/>
      <c r="G22" s="482"/>
      <c r="H22" s="483"/>
    </row>
    <row r="23" spans="1:8" ht="13.5" thickTop="1"/>
  </sheetData>
  <sheetProtection password="CC4F" sheet="1" objects="1" scenarios="1"/>
  <mergeCells count="14">
    <mergeCell ref="B15:G15"/>
    <mergeCell ref="A22:H22"/>
    <mergeCell ref="B9:G9"/>
    <mergeCell ref="B10:G10"/>
    <mergeCell ref="B11:G11"/>
    <mergeCell ref="B12:G12"/>
    <mergeCell ref="B13:G13"/>
    <mergeCell ref="B16:G16"/>
    <mergeCell ref="B17:G17"/>
    <mergeCell ref="B18:G18"/>
    <mergeCell ref="B19:G19"/>
    <mergeCell ref="B20:G20"/>
    <mergeCell ref="B21:G21"/>
    <mergeCell ref="B14:G14"/>
  </mergeCells>
  <hyperlinks>
    <hyperlink ref="B11" location="'Паро-гидробарьеры'!A1" display="Пленки, ленкты, мембраны"/>
    <hyperlink ref="B12" location="'Плиты ОSB-3'!A1" display="ОСБ 3"/>
    <hyperlink ref="B13" location="'Кровельные саморезы'!A1" display="Крепеж"/>
    <hyperlink ref="B15" location="'Водосточные системы Scala '!A1" display="Водосток Scala"/>
    <hyperlink ref="B18" location="'Мансардные окна и лест. Fakro'!A1" display="FAKRO"/>
    <hyperlink ref="B17" location="'Софиты Bryza'!A1" display="Софиты"/>
    <hyperlink ref="B19" location="'Мансардные окна Velux '!A1" display="VELUX"/>
    <hyperlink ref="B20" location="ЛКМ!A1" display="Краски"/>
    <hyperlink ref="B21" location="'СИЗ Абр. круги, Электроды'!A1" display="Электроды, круги"/>
    <hyperlink ref="B16" location="'водосточные системы Bryza'!A1" display="Водосток Bryza"/>
    <hyperlink ref="B14" location="'Водосточные системы Scala '!A1" display="Водосток Scala"/>
    <hyperlink ref="B14:G14" location="'Водосточные системы Билка'!Область_печати" display="Водосток BILKA"/>
    <hyperlink ref="B16:G16" location="'водосточные системы Bryza '!Область_печати" display="Водосток Bryza"/>
    <hyperlink ref="B18:G18" location="'Мансардные окна и лест. Fak '!Область_печати" display="FAKRO"/>
    <hyperlink ref="B21:G21" location="'Абр. круги, Электроды'!Область_печати" display="Электроды, круги"/>
    <hyperlink ref="B10" location="'Утеплители '!A1" display="'Утеплители '!A1"/>
  </hyperlinks>
  <pageMargins left="0.39370078740157483" right="0.39370078740157483" top="0.39370078740157483" bottom="0.39370078740157483" header="0.51181102362204722" footer="0.5118110236220472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169"/>
  <sheetViews>
    <sheetView view="pageBreakPreview" zoomScale="70" zoomScaleNormal="55" zoomScaleSheetLayoutView="70" workbookViewId="0">
      <selection sqref="A1:Y255"/>
    </sheetView>
  </sheetViews>
  <sheetFormatPr defaultRowHeight="12.75"/>
  <cols>
    <col min="1" max="1" width="9.7109375" customWidth="1"/>
    <col min="2" max="2" width="10.28515625" customWidth="1"/>
    <col min="3" max="3" width="20" customWidth="1"/>
    <col min="4" max="4" width="7.140625" customWidth="1"/>
    <col min="5" max="5" width="7.85546875" customWidth="1"/>
    <col min="6" max="6" width="7.28515625" customWidth="1"/>
    <col min="7" max="7" width="8" customWidth="1"/>
    <col min="8" max="8" width="8.5703125" customWidth="1"/>
    <col min="9" max="9" width="7.7109375" customWidth="1"/>
    <col min="10" max="11" width="7" customWidth="1"/>
    <col min="12" max="12" width="7.42578125" customWidth="1"/>
    <col min="13" max="13" width="7.5703125" customWidth="1"/>
    <col min="14" max="14" width="8" customWidth="1"/>
    <col min="15" max="15" width="8.28515625" customWidth="1"/>
  </cols>
  <sheetData>
    <row r="1" spans="1:17">
      <c r="A1" s="13"/>
    </row>
    <row r="2" spans="1:17">
      <c r="I2" s="33"/>
      <c r="J2" s="33"/>
      <c r="K2" s="392"/>
      <c r="L2" s="392"/>
      <c r="M2" s="392"/>
      <c r="N2" s="392"/>
      <c r="O2" s="393"/>
      <c r="P2" s="393"/>
      <c r="Q2" s="393"/>
    </row>
    <row r="3" spans="1:17" ht="15" customHeight="1">
      <c r="K3" s="394"/>
      <c r="L3" s="394"/>
      <c r="M3" s="395"/>
      <c r="N3" s="395"/>
      <c r="O3" s="395"/>
      <c r="P3" s="395"/>
      <c r="Q3" s="395"/>
    </row>
    <row r="4" spans="1:17">
      <c r="K4" s="395"/>
      <c r="L4" s="395"/>
      <c r="M4" s="395"/>
      <c r="N4" s="395"/>
      <c r="O4" s="395"/>
      <c r="P4" s="395"/>
      <c r="Q4" s="395"/>
    </row>
    <row r="5" spans="1:17" ht="15.2" customHeight="1">
      <c r="O5" s="395"/>
      <c r="P5" s="395"/>
      <c r="Q5" s="395"/>
    </row>
    <row r="6" spans="1:17" ht="15.2" customHeight="1">
      <c r="O6" s="395"/>
      <c r="P6" s="395"/>
      <c r="Q6" s="395"/>
    </row>
    <row r="7" spans="1:17" ht="15.2" customHeight="1">
      <c r="K7" s="395"/>
      <c r="L7" s="395"/>
      <c r="M7" s="395"/>
      <c r="N7" s="395"/>
      <c r="O7" s="395"/>
      <c r="P7" s="395"/>
      <c r="Q7" s="395"/>
    </row>
    <row r="8" spans="1:17" ht="15.2" customHeight="1">
      <c r="K8" s="395"/>
      <c r="L8" s="395"/>
      <c r="M8" s="395"/>
      <c r="N8" s="395"/>
      <c r="O8" s="395"/>
      <c r="P8" s="395"/>
      <c r="Q8" s="395"/>
    </row>
    <row r="9" spans="1:17" ht="15.2" customHeight="1">
      <c r="K9" s="395"/>
      <c r="L9" s="395"/>
      <c r="M9" s="395"/>
      <c r="N9" s="395"/>
      <c r="O9" s="395"/>
      <c r="P9" s="395"/>
      <c r="Q9" s="395"/>
    </row>
    <row r="10" spans="1:17" ht="15.2" customHeight="1">
      <c r="K10" s="395"/>
      <c r="L10" s="395"/>
      <c r="M10" s="395"/>
      <c r="N10" s="395"/>
      <c r="O10" s="395"/>
      <c r="P10" s="395"/>
      <c r="Q10" s="395"/>
    </row>
    <row r="11" spans="1:17" ht="15.2" customHeight="1">
      <c r="K11" s="395"/>
      <c r="L11" s="395"/>
      <c r="M11" s="395"/>
      <c r="N11" s="395"/>
      <c r="O11" s="395"/>
      <c r="P11" s="395"/>
      <c r="Q11" s="395"/>
    </row>
    <row r="12" spans="1:17">
      <c r="O12" s="395"/>
      <c r="P12" s="395"/>
      <c r="Q12" s="395"/>
    </row>
    <row r="13" spans="1:17">
      <c r="A13" s="396"/>
      <c r="B13" s="396"/>
      <c r="C13" s="396"/>
      <c r="D13" s="397"/>
      <c r="E13" s="398"/>
      <c r="F13" s="398"/>
      <c r="G13" s="398"/>
      <c r="H13" s="398"/>
      <c r="I13" s="393"/>
      <c r="J13" s="393"/>
      <c r="K13" s="395"/>
      <c r="L13" s="395"/>
      <c r="M13" s="395"/>
      <c r="N13" s="395"/>
      <c r="O13" s="395"/>
      <c r="P13" s="395"/>
      <c r="Q13" s="395"/>
    </row>
    <row r="14" spans="1:17">
      <c r="A14" s="395"/>
      <c r="B14" s="395"/>
      <c r="C14" s="395"/>
      <c r="D14" s="395"/>
      <c r="E14" s="399"/>
      <c r="F14" s="399"/>
      <c r="G14" s="399"/>
      <c r="H14" s="399"/>
      <c r="I14" s="395"/>
      <c r="J14" s="395"/>
      <c r="K14" s="395"/>
      <c r="L14" s="395"/>
      <c r="M14" s="395"/>
      <c r="N14" s="395"/>
      <c r="O14" s="395"/>
      <c r="P14" s="395"/>
      <c r="Q14" s="395"/>
    </row>
    <row r="15" spans="1:17">
      <c r="O15" s="395"/>
      <c r="P15" s="395"/>
      <c r="Q15" s="395"/>
    </row>
    <row r="16" spans="1:17">
      <c r="A16" s="395"/>
      <c r="B16" s="395"/>
      <c r="C16" s="395"/>
      <c r="D16" s="395"/>
      <c r="E16" s="395"/>
      <c r="F16" s="395"/>
      <c r="G16" s="395"/>
      <c r="K16" s="395"/>
      <c r="L16" s="395"/>
      <c r="M16" s="395"/>
      <c r="N16" s="395"/>
      <c r="O16" s="395"/>
      <c r="P16" s="395"/>
      <c r="Q16" s="395"/>
    </row>
    <row r="17" spans="1:17">
      <c r="A17" s="395"/>
      <c r="B17" s="395"/>
      <c r="C17" s="395"/>
      <c r="D17" s="395"/>
      <c r="E17" s="395"/>
      <c r="K17" s="395"/>
      <c r="L17" s="395"/>
      <c r="M17" s="395"/>
      <c r="N17" s="395"/>
      <c r="O17" s="395"/>
      <c r="P17" s="395"/>
      <c r="Q17" s="395"/>
    </row>
    <row r="18" spans="1:17">
      <c r="A18" s="395"/>
      <c r="B18" s="395"/>
      <c r="C18" s="395"/>
      <c r="D18" s="395"/>
      <c r="E18" s="395"/>
      <c r="I18" s="395"/>
      <c r="J18" s="395"/>
      <c r="K18" s="395"/>
      <c r="L18" s="395"/>
      <c r="M18" s="395"/>
      <c r="N18" s="395"/>
      <c r="O18" s="395"/>
      <c r="P18" s="395"/>
      <c r="Q18" s="395"/>
    </row>
    <row r="36" spans="1:8">
      <c r="A36" s="32"/>
      <c r="B36" s="33"/>
      <c r="C36" s="33"/>
      <c r="D36" s="400"/>
      <c r="E36" s="400"/>
      <c r="F36" s="33"/>
      <c r="G36" s="33"/>
      <c r="H36" s="400"/>
    </row>
    <row r="38" spans="1:8">
      <c r="A38" s="13"/>
    </row>
    <row r="76" spans="1:8">
      <c r="A76" s="32"/>
      <c r="B76" s="33"/>
      <c r="C76" s="33"/>
      <c r="D76" s="400"/>
      <c r="E76" s="400"/>
      <c r="F76" s="33"/>
      <c r="G76" s="33"/>
      <c r="H76" s="400"/>
    </row>
    <row r="155" spans="18:25">
      <c r="R155" s="427"/>
      <c r="S155" s="427"/>
      <c r="T155" s="427"/>
      <c r="U155" s="427"/>
      <c r="V155" s="427"/>
      <c r="W155" s="427"/>
      <c r="X155" s="427"/>
      <c r="Y155" s="427"/>
    </row>
    <row r="156" spans="18:25" ht="21">
      <c r="R156" s="427"/>
      <c r="S156" s="428"/>
      <c r="T156" s="427"/>
      <c r="U156" s="427"/>
      <c r="V156" s="427"/>
      <c r="W156" s="427"/>
      <c r="X156" s="427"/>
      <c r="Y156" s="427"/>
    </row>
    <row r="157" spans="18:25" ht="21">
      <c r="R157" s="427"/>
      <c r="S157" s="428"/>
      <c r="T157" s="427"/>
      <c r="U157" s="427"/>
      <c r="V157" s="427"/>
      <c r="W157" s="427"/>
      <c r="X157" s="427"/>
      <c r="Y157" s="427"/>
    </row>
    <row r="158" spans="18:25" ht="21">
      <c r="R158" s="427"/>
      <c r="S158" s="428"/>
      <c r="T158" s="427"/>
      <c r="U158" s="427"/>
      <c r="V158" s="427"/>
      <c r="W158" s="427"/>
      <c r="X158" s="427"/>
      <c r="Y158" s="427"/>
    </row>
    <row r="159" spans="18:25" ht="21">
      <c r="R159" s="427"/>
      <c r="S159" s="428"/>
      <c r="T159" s="427"/>
      <c r="U159" s="427"/>
      <c r="V159" s="427"/>
      <c r="W159" s="427"/>
      <c r="X159" s="427"/>
      <c r="Y159" s="427"/>
    </row>
    <row r="160" spans="18:25" ht="21">
      <c r="R160" s="427"/>
      <c r="S160" s="428"/>
      <c r="T160" s="427"/>
      <c r="U160" s="427"/>
      <c r="V160" s="427"/>
      <c r="W160" s="427"/>
      <c r="X160" s="427"/>
      <c r="Y160" s="427"/>
    </row>
    <row r="161" spans="1:25" ht="22.5">
      <c r="I161" s="401"/>
      <c r="J161" s="401"/>
      <c r="K161" s="401"/>
      <c r="L161" s="401"/>
      <c r="N161" s="402"/>
      <c r="P161" s="403"/>
      <c r="R161" s="427"/>
      <c r="S161" s="428"/>
      <c r="T161" s="427"/>
      <c r="U161" s="427"/>
      <c r="V161" s="427"/>
      <c r="W161" s="427"/>
      <c r="X161" s="427"/>
      <c r="Y161" s="427"/>
    </row>
    <row r="162" spans="1:25" ht="21">
      <c r="I162" s="401"/>
      <c r="J162" s="401"/>
      <c r="K162" s="401"/>
      <c r="L162" s="401"/>
      <c r="M162" s="401"/>
      <c r="N162" s="401"/>
      <c r="P162" s="403"/>
      <c r="R162" s="427"/>
      <c r="S162" s="428"/>
      <c r="T162" s="427"/>
      <c r="U162" s="427"/>
      <c r="V162" s="427"/>
      <c r="W162" s="427"/>
      <c r="X162" s="427"/>
      <c r="Y162" s="427"/>
    </row>
    <row r="163" spans="1:25" ht="21">
      <c r="I163" s="401"/>
      <c r="J163" s="401"/>
      <c r="K163" s="401"/>
      <c r="L163" s="401"/>
      <c r="M163" s="401"/>
      <c r="N163" s="401"/>
      <c r="P163" s="403"/>
      <c r="R163" s="427"/>
      <c r="S163" s="428"/>
      <c r="T163" s="427"/>
      <c r="U163" s="427"/>
      <c r="V163" s="427"/>
      <c r="W163" s="427"/>
      <c r="X163" s="427"/>
      <c r="Y163" s="427"/>
    </row>
    <row r="164" spans="1:25" ht="21">
      <c r="A164" s="792"/>
      <c r="B164" s="792"/>
      <c r="C164" s="792"/>
      <c r="D164" s="792"/>
      <c r="E164" s="792"/>
      <c r="F164" s="792"/>
      <c r="G164" s="792"/>
      <c r="H164" s="792"/>
      <c r="I164" s="792"/>
      <c r="J164" s="792"/>
      <c r="K164" s="792"/>
      <c r="L164" s="792"/>
      <c r="M164" s="792"/>
      <c r="N164" s="792"/>
      <c r="O164" s="792"/>
      <c r="P164" s="792"/>
      <c r="R164" s="427"/>
      <c r="S164" s="428"/>
      <c r="T164" s="427"/>
      <c r="U164" s="427"/>
      <c r="V164" s="427"/>
      <c r="W164" s="427"/>
      <c r="X164" s="427"/>
      <c r="Y164" s="427"/>
    </row>
    <row r="165" spans="1:25" ht="21">
      <c r="A165" s="792"/>
      <c r="B165" s="792"/>
      <c r="C165" s="792"/>
      <c r="D165" s="792"/>
      <c r="E165" s="792"/>
      <c r="F165" s="792"/>
      <c r="G165" s="792"/>
      <c r="H165" s="792"/>
      <c r="I165" s="792"/>
      <c r="J165" s="792"/>
      <c r="K165" s="792"/>
      <c r="L165" s="792"/>
      <c r="M165" s="792"/>
      <c r="N165" s="792"/>
      <c r="O165" s="792"/>
      <c r="P165" s="792"/>
      <c r="R165" s="427"/>
      <c r="S165" s="428"/>
      <c r="T165" s="427"/>
      <c r="U165" s="427"/>
      <c r="V165" s="427"/>
      <c r="W165" s="427"/>
      <c r="X165" s="427"/>
      <c r="Y165" s="427"/>
    </row>
    <row r="166" spans="1:25" ht="21">
      <c r="I166" s="401"/>
      <c r="J166" s="401"/>
      <c r="K166" s="401"/>
      <c r="L166" s="401"/>
      <c r="M166" s="401"/>
      <c r="N166" s="401"/>
      <c r="P166" s="403"/>
      <c r="R166" s="427"/>
      <c r="S166" s="428"/>
      <c r="T166" s="427"/>
      <c r="U166" s="427"/>
      <c r="V166" s="427"/>
      <c r="W166" s="427"/>
      <c r="X166" s="427"/>
      <c r="Y166" s="427"/>
    </row>
    <row r="167" spans="1:25" ht="21">
      <c r="I167" s="401"/>
      <c r="J167" s="401"/>
      <c r="K167" s="401"/>
      <c r="L167" s="401"/>
      <c r="M167" s="401"/>
      <c r="N167" s="401"/>
      <c r="O167" s="401"/>
      <c r="P167" s="403"/>
      <c r="R167" s="427"/>
      <c r="S167" s="428"/>
      <c r="T167" s="427"/>
      <c r="U167" s="427"/>
      <c r="V167" s="427"/>
      <c r="W167" s="427"/>
      <c r="X167" s="427"/>
      <c r="Y167" s="427"/>
    </row>
    <row r="168" spans="1:25" ht="21">
      <c r="H168" s="403"/>
      <c r="I168" s="403"/>
      <c r="J168" s="403"/>
      <c r="K168" s="403"/>
      <c r="L168" s="403"/>
      <c r="M168" s="403"/>
      <c r="N168" s="403"/>
      <c r="O168" s="403"/>
      <c r="P168" s="403"/>
      <c r="R168" s="427"/>
      <c r="S168" s="428"/>
      <c r="T168" s="427"/>
      <c r="U168" s="427"/>
      <c r="V168" s="427"/>
      <c r="W168" s="427"/>
      <c r="X168" s="427"/>
      <c r="Y168" s="427"/>
    </row>
    <row r="169" spans="1:25">
      <c r="R169" s="427"/>
      <c r="S169" s="427"/>
      <c r="T169" s="427"/>
      <c r="U169" s="427"/>
      <c r="V169" s="427"/>
      <c r="W169" s="427"/>
      <c r="X169" s="427"/>
      <c r="Y169" s="427"/>
    </row>
  </sheetData>
  <sheetProtection password="CC4F" sheet="1" objects="1" scenarios="1"/>
  <mergeCells count="1">
    <mergeCell ref="A164:P165"/>
  </mergeCells>
  <pageMargins left="0.25" right="0.25" top="0.75" bottom="0.75" header="0.3" footer="0.3"/>
  <pageSetup paperSize="9" scale="44" orientation="portrait" r:id="rId1"/>
  <headerFooter>
    <oddHeader>&amp;L&amp;G&amp;C&amp;G&amp;R&amp;"Arial Cyr,полужирный курсив" 02160, Украина
 г. Киев, ул. Вискозная, 17
 тел.: 503-77-88
 www.stalex.ua</oddHeader>
  </headerFooter>
  <rowBreaks count="1" manualBreakCount="1">
    <brk id="129" max="16383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P128"/>
  <sheetViews>
    <sheetView view="pageBreakPreview" zoomScale="70" zoomScaleNormal="110" zoomScaleSheetLayoutView="70" workbookViewId="0"/>
  </sheetViews>
  <sheetFormatPr defaultRowHeight="12.75"/>
  <sheetData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3" ht="22.5" customHeight="1"/>
    <row r="24" ht="22.5" customHeight="1"/>
    <row r="25" ht="12.75" customHeight="1"/>
    <row r="26" ht="12.75" customHeight="1"/>
    <row r="27" ht="12.75" customHeight="1"/>
    <row r="28" ht="15.75" customHeight="1"/>
    <row r="46" spans="16:16" ht="22.5">
      <c r="P46" s="402"/>
    </row>
    <row r="48" spans="16:16" s="403" customFormat="1" ht="21">
      <c r="P48" s="401"/>
    </row>
    <row r="49" spans="2:16" s="403" customFormat="1" ht="21">
      <c r="P49" s="401"/>
    </row>
    <row r="50" spans="2:16" s="403" customFormat="1" ht="21">
      <c r="P50" s="401"/>
    </row>
    <row r="51" spans="2:16" s="403" customFormat="1" ht="21">
      <c r="P51" s="401"/>
    </row>
    <row r="52" spans="2:16" s="403" customFormat="1" ht="21">
      <c r="P52" s="401"/>
    </row>
    <row r="53" spans="2:16" s="403" customFormat="1" ht="21">
      <c r="P53" s="401"/>
    </row>
    <row r="58" spans="2:16" ht="21">
      <c r="P58" s="401"/>
    </row>
    <row r="59" spans="2:16" ht="21">
      <c r="P59" s="401"/>
    </row>
    <row r="60" spans="2:16" ht="22.5">
      <c r="O60" s="404"/>
    </row>
    <row r="62" spans="2:16" ht="17.25">
      <c r="B62" s="405"/>
    </row>
    <row r="128" spans="1:1" ht="22.5">
      <c r="A128" s="404" t="s">
        <v>682</v>
      </c>
    </row>
  </sheetData>
  <sheetProtection password="CC4F" sheet="1" objects="1" scenarios="1"/>
  <pageMargins left="0.19685039370078741" right="0.15748031496062992" top="1.3385826771653544" bottom="0.15748031496062992" header="0.15748031496062992" footer="0.19685039370078741"/>
  <pageSetup paperSize="9" scale="55" orientation="landscape" r:id="rId1"/>
  <headerFooter>
    <oddHeader>&amp;L&amp;G&amp;C&amp;G&amp;R&amp;"Arial Cyr,полужирный курсив" 02160, Украина
 г. Киев, ул. Вискозная, 17
 тел.: 503-77-88
 www.stalex.ua</oddHeader>
  </headerFooter>
  <rowBreaks count="1" manualBreakCount="1">
    <brk id="62" max="2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M54"/>
  <sheetViews>
    <sheetView view="pageBreakPreview" zoomScaleNormal="110" zoomScaleSheetLayoutView="100" workbookViewId="0">
      <selection activeCell="D5" sqref="D5"/>
    </sheetView>
  </sheetViews>
  <sheetFormatPr defaultRowHeight="12.75" outlineLevelCol="1"/>
  <cols>
    <col min="1" max="1" width="23.7109375" customWidth="1"/>
    <col min="2" max="2" width="6.7109375" customWidth="1"/>
    <col min="3" max="3" width="32.85546875" customWidth="1"/>
    <col min="4" max="4" width="17" customWidth="1"/>
    <col min="5" max="5" width="8.85546875" customWidth="1"/>
    <col min="6" max="6" width="9.7109375" customWidth="1"/>
    <col min="7" max="7" width="13.85546875" hidden="1" customWidth="1" outlineLevel="1"/>
    <col min="8" max="9" width="11.42578125" hidden="1" customWidth="1" outlineLevel="1"/>
    <col min="10" max="12" width="9.140625" hidden="1" customWidth="1" outlineLevel="1"/>
    <col min="13" max="13" width="9.140625" collapsed="1"/>
  </cols>
  <sheetData>
    <row r="1" spans="1:12" ht="13.5" thickBot="1">
      <c r="A1" s="352"/>
    </row>
    <row r="2" spans="1:12" ht="91.5" customHeight="1" thickBot="1">
      <c r="A2" s="795" t="s">
        <v>87</v>
      </c>
      <c r="B2" s="795"/>
      <c r="C2" s="795"/>
      <c r="D2" s="795"/>
      <c r="E2" s="795"/>
      <c r="F2" s="795"/>
    </row>
    <row r="3" spans="1:12" ht="39" customHeight="1" thickBot="1">
      <c r="A3" s="733" t="s">
        <v>3</v>
      </c>
      <c r="B3" s="796"/>
      <c r="C3" s="796"/>
      <c r="D3" s="796"/>
      <c r="E3" s="735" t="s">
        <v>5</v>
      </c>
      <c r="F3" s="735"/>
    </row>
    <row r="4" spans="1:12" ht="31.5" customHeight="1" thickBot="1">
      <c r="A4" s="384" t="s">
        <v>28</v>
      </c>
      <c r="B4" s="384" t="s">
        <v>126</v>
      </c>
      <c r="C4" s="384" t="s">
        <v>128</v>
      </c>
      <c r="D4" s="384" t="s">
        <v>127</v>
      </c>
      <c r="E4" s="384" t="s">
        <v>97</v>
      </c>
      <c r="F4" s="21" t="s">
        <v>4</v>
      </c>
    </row>
    <row r="5" spans="1:12" ht="30.75" customHeight="1" thickBot="1">
      <c r="A5" s="34" t="s">
        <v>85</v>
      </c>
      <c r="B5" s="34">
        <v>100</v>
      </c>
      <c r="C5" s="35" t="s">
        <v>86</v>
      </c>
      <c r="D5" s="385" t="s">
        <v>24</v>
      </c>
      <c r="E5" s="195">
        <f>H5</f>
        <v>48.96</v>
      </c>
      <c r="F5" s="686"/>
      <c r="G5" s="189">
        <v>34</v>
      </c>
      <c r="H5" s="189">
        <f>G5*1.44</f>
        <v>48.96</v>
      </c>
      <c r="I5" s="189">
        <f>H5*0.76</f>
        <v>37.209600000000002</v>
      </c>
    </row>
    <row r="6" spans="1:12" ht="30.75" customHeight="1" thickBot="1">
      <c r="A6" s="36" t="s">
        <v>85</v>
      </c>
      <c r="B6" s="36">
        <v>200</v>
      </c>
      <c r="C6" s="37" t="s">
        <v>86</v>
      </c>
      <c r="D6" s="38" t="s">
        <v>24</v>
      </c>
      <c r="E6" s="194">
        <f>H6</f>
        <v>48.96</v>
      </c>
      <c r="F6" s="682"/>
      <c r="G6" s="189">
        <v>34</v>
      </c>
      <c r="H6" s="189">
        <f t="shared" ref="H6:H12" si="0">G6*1.44</f>
        <v>48.96</v>
      </c>
      <c r="I6" s="189">
        <f t="shared" ref="I6:I12" si="1">H6*0.76</f>
        <v>37.209600000000002</v>
      </c>
    </row>
    <row r="7" spans="1:12" ht="54" customHeight="1" thickBot="1">
      <c r="A7" s="795" t="s">
        <v>643</v>
      </c>
      <c r="B7" s="795"/>
      <c r="C7" s="795"/>
      <c r="D7" s="795"/>
      <c r="E7" s="795"/>
      <c r="F7" s="795"/>
      <c r="G7" s="189"/>
      <c r="H7" s="189"/>
      <c r="I7" s="189"/>
    </row>
    <row r="8" spans="1:12" ht="60" customHeight="1" thickBot="1">
      <c r="A8" s="733" t="s">
        <v>3</v>
      </c>
      <c r="B8" s="796"/>
      <c r="C8" s="796"/>
      <c r="D8" s="796"/>
      <c r="E8" s="735" t="s">
        <v>5</v>
      </c>
      <c r="F8" s="735"/>
      <c r="G8" s="189"/>
      <c r="H8" s="189"/>
      <c r="I8" s="189"/>
    </row>
    <row r="9" spans="1:12" ht="60" customHeight="1" thickBot="1">
      <c r="A9" s="384" t="s">
        <v>28</v>
      </c>
      <c r="B9" s="384" t="s">
        <v>126</v>
      </c>
      <c r="C9" s="384" t="s">
        <v>128</v>
      </c>
      <c r="D9" s="384" t="s">
        <v>127</v>
      </c>
      <c r="E9" s="384" t="s">
        <v>97</v>
      </c>
      <c r="F9" s="21" t="s">
        <v>4</v>
      </c>
      <c r="G9" s="189" t="s">
        <v>495</v>
      </c>
      <c r="H9" s="189" t="s">
        <v>560</v>
      </c>
      <c r="I9" s="189" t="s">
        <v>558</v>
      </c>
      <c r="J9" s="263" t="s">
        <v>506</v>
      </c>
      <c r="K9" s="263" t="s">
        <v>561</v>
      </c>
      <c r="L9" s="263" t="s">
        <v>555</v>
      </c>
    </row>
    <row r="10" spans="1:12" ht="30.75" customHeight="1" thickBot="1">
      <c r="A10" s="34" t="s">
        <v>129</v>
      </c>
      <c r="B10" s="34">
        <v>400</v>
      </c>
      <c r="C10" s="793" t="s">
        <v>641</v>
      </c>
      <c r="D10" s="385" t="s">
        <v>131</v>
      </c>
      <c r="E10" s="382">
        <f>H10</f>
        <v>165.6</v>
      </c>
      <c r="F10" s="78" t="s">
        <v>8</v>
      </c>
      <c r="G10" s="351">
        <v>115</v>
      </c>
      <c r="H10" s="265">
        <f t="shared" si="0"/>
        <v>165.6</v>
      </c>
      <c r="I10" s="265">
        <f t="shared" si="1"/>
        <v>125.85599999999999</v>
      </c>
      <c r="J10" s="264">
        <f>SUM(I10*0.9)</f>
        <v>113.2704</v>
      </c>
      <c r="K10" s="264"/>
      <c r="L10" s="264"/>
    </row>
    <row r="11" spans="1:12" ht="30.75" customHeight="1" thickBot="1">
      <c r="A11" s="36" t="s">
        <v>130</v>
      </c>
      <c r="B11" s="36" t="s">
        <v>765</v>
      </c>
      <c r="C11" s="794"/>
      <c r="D11" s="38" t="s">
        <v>132</v>
      </c>
      <c r="E11" s="383">
        <f>H11</f>
        <v>172.79999999999998</v>
      </c>
      <c r="F11" s="79" t="s">
        <v>8</v>
      </c>
      <c r="G11" s="351">
        <v>120</v>
      </c>
      <c r="H11" s="265">
        <f t="shared" si="0"/>
        <v>172.79999999999998</v>
      </c>
      <c r="I11" s="265">
        <f t="shared" si="1"/>
        <v>131.32799999999997</v>
      </c>
      <c r="J11" s="264">
        <f>SUM(I11*0.9)</f>
        <v>118.19519999999999</v>
      </c>
      <c r="K11" s="264"/>
      <c r="L11" s="264"/>
    </row>
    <row r="12" spans="1:12" ht="20.25" thickBot="1">
      <c r="A12" s="36" t="s">
        <v>640</v>
      </c>
      <c r="B12" s="36">
        <v>400</v>
      </c>
      <c r="C12" s="794"/>
      <c r="D12" s="38" t="s">
        <v>642</v>
      </c>
      <c r="E12" s="383">
        <f>H12</f>
        <v>75.002241600000005</v>
      </c>
      <c r="F12" s="79" t="s">
        <v>8</v>
      </c>
      <c r="G12" s="351">
        <f>51.3*1.0153</f>
        <v>52.084890000000001</v>
      </c>
      <c r="H12" s="265">
        <f t="shared" si="0"/>
        <v>75.002241600000005</v>
      </c>
      <c r="I12" s="265">
        <f t="shared" si="1"/>
        <v>57.001703616000007</v>
      </c>
      <c r="J12" s="264">
        <f>SUM(I12*0.9)</f>
        <v>51.301533254400006</v>
      </c>
      <c r="K12" s="264"/>
    </row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sheetProtection password="CC4F" sheet="1" objects="1" scenarios="1"/>
  <mergeCells count="8">
    <mergeCell ref="C10:C12"/>
    <mergeCell ref="A2:F2"/>
    <mergeCell ref="A3:D3"/>
    <mergeCell ref="E3:F3"/>
    <mergeCell ref="F5:F6"/>
    <mergeCell ref="A7:F7"/>
    <mergeCell ref="A8:D8"/>
    <mergeCell ref="E8:F8"/>
  </mergeCells>
  <pageMargins left="0.19685039370078741" right="0.16" top="1.34375" bottom="0.16" header="0.17" footer="0.19"/>
  <pageSetup paperSize="9" fitToHeight="0" orientation="portrait" r:id="rId1"/>
  <headerFooter>
    <oddHeader>&amp;L&amp;G&amp;R&amp;"Arial Cyr,полужирный курсив" 02160, Украина
 г. Киев, ул. Вискозная, 17
 тел.: 503-77-88
 www.stalex.ua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-0.499984740745262"/>
  </sheetPr>
  <dimension ref="A1:J43"/>
  <sheetViews>
    <sheetView view="pageBreakPreview" zoomScale="124" zoomScaleNormal="110" zoomScaleSheetLayoutView="124" workbookViewId="0">
      <selection sqref="A1:G12"/>
    </sheetView>
  </sheetViews>
  <sheetFormatPr defaultRowHeight="12.75" outlineLevelCol="1"/>
  <cols>
    <col min="1" max="1" width="11" customWidth="1"/>
    <col min="2" max="2" width="15.7109375" customWidth="1"/>
    <col min="3" max="3" width="49.140625" customWidth="1"/>
    <col min="4" max="4" width="8.28515625" customWidth="1"/>
    <col min="5" max="5" width="8.85546875" customWidth="1"/>
    <col min="6" max="6" width="9.7109375" customWidth="1"/>
    <col min="7" max="7" width="9.85546875" style="141" hidden="1" customWidth="1" outlineLevel="1"/>
    <col min="8" max="8" width="9" hidden="1" customWidth="1" outlineLevel="1"/>
    <col min="9" max="9" width="9.140625" hidden="1" customWidth="1" outlineLevel="1"/>
    <col min="10" max="10" width="9.140625" collapsed="1"/>
    <col min="11" max="11" width="16.42578125" customWidth="1"/>
    <col min="13" max="13" width="0" hidden="1" customWidth="1"/>
  </cols>
  <sheetData>
    <row r="1" spans="1:9" ht="13.5" thickBot="1">
      <c r="A1" s="13"/>
    </row>
    <row r="2" spans="1:9" ht="70.5" customHeight="1" thickBot="1">
      <c r="A2" s="795" t="s">
        <v>92</v>
      </c>
      <c r="B2" s="795"/>
      <c r="C2" s="795"/>
      <c r="D2" s="795"/>
      <c r="E2" s="795"/>
      <c r="F2" s="795"/>
    </row>
    <row r="3" spans="1:9" ht="20.25" customHeight="1" thickBot="1">
      <c r="A3" s="565" t="s">
        <v>28</v>
      </c>
      <c r="B3" s="567"/>
      <c r="C3" s="93" t="s">
        <v>3</v>
      </c>
      <c r="D3" s="564" t="s">
        <v>94</v>
      </c>
      <c r="E3" s="564"/>
      <c r="F3" s="21" t="s">
        <v>4</v>
      </c>
    </row>
    <row r="4" spans="1:9" ht="39.75" customHeight="1" thickBot="1">
      <c r="A4" s="799" t="s">
        <v>93</v>
      </c>
      <c r="B4" s="800"/>
      <c r="C4" s="94" t="s">
        <v>217</v>
      </c>
      <c r="D4" s="550">
        <f>H4</f>
        <v>34.142400000000002</v>
      </c>
      <c r="E4" s="550"/>
      <c r="F4" s="94" t="s">
        <v>195</v>
      </c>
      <c r="G4" s="142">
        <v>23.71</v>
      </c>
      <c r="H4" s="188">
        <f>G4*1.44</f>
        <v>34.142400000000002</v>
      </c>
      <c r="I4" s="188">
        <f>H4*0.76</f>
        <v>25.948224000000003</v>
      </c>
    </row>
    <row r="5" spans="1:9" ht="37.5" customHeight="1" thickBot="1">
      <c r="A5" s="797" t="s">
        <v>93</v>
      </c>
      <c r="B5" s="798"/>
      <c r="C5" s="92" t="s">
        <v>218</v>
      </c>
      <c r="D5" s="569">
        <f>H5</f>
        <v>52.948800000000006</v>
      </c>
      <c r="E5" s="569"/>
      <c r="F5" s="92" t="s">
        <v>195</v>
      </c>
      <c r="G5" s="142">
        <v>36.770000000000003</v>
      </c>
      <c r="H5" s="188">
        <f>G5*1.44</f>
        <v>52.948800000000006</v>
      </c>
      <c r="I5" s="188">
        <f>H5*0.76</f>
        <v>40.241088000000005</v>
      </c>
    </row>
    <row r="6" spans="1:9" ht="73.5" customHeight="1" thickBot="1">
      <c r="A6" s="795" t="s">
        <v>190</v>
      </c>
      <c r="B6" s="795"/>
      <c r="C6" s="795"/>
      <c r="D6" s="795"/>
      <c r="E6" s="795"/>
      <c r="F6" s="795"/>
      <c r="H6" s="188">
        <f t="shared" ref="H6:H10" si="0">G6*1.44</f>
        <v>0</v>
      </c>
      <c r="I6" s="188">
        <f t="shared" ref="I6:I10" si="1">H6/0.76</f>
        <v>0</v>
      </c>
    </row>
    <row r="7" spans="1:9" ht="30" customHeight="1" thickBot="1">
      <c r="A7" s="565" t="s">
        <v>28</v>
      </c>
      <c r="B7" s="567"/>
      <c r="C7" s="93" t="s">
        <v>3</v>
      </c>
      <c r="D7" s="93" t="s">
        <v>95</v>
      </c>
      <c r="E7" s="93" t="s">
        <v>191</v>
      </c>
      <c r="F7" s="21" t="s">
        <v>4</v>
      </c>
      <c r="H7" s="188">
        <f t="shared" si="0"/>
        <v>0</v>
      </c>
      <c r="I7" s="188">
        <f t="shared" si="1"/>
        <v>0</v>
      </c>
    </row>
    <row r="8" spans="1:9" ht="42" customHeight="1" thickBot="1">
      <c r="A8" s="803" t="s">
        <v>192</v>
      </c>
      <c r="B8" s="804"/>
      <c r="C8" s="107" t="s">
        <v>105</v>
      </c>
      <c r="D8" s="143">
        <f>H8</f>
        <v>67.003199999999993</v>
      </c>
      <c r="E8" s="143">
        <f>D8*2.5</f>
        <v>167.50799999999998</v>
      </c>
      <c r="F8" s="90" t="s">
        <v>195</v>
      </c>
      <c r="G8" s="141">
        <v>46.53</v>
      </c>
      <c r="H8" s="188">
        <f t="shared" si="0"/>
        <v>67.003199999999993</v>
      </c>
      <c r="I8" s="188">
        <f>H8*0.76</f>
        <v>50.922431999999993</v>
      </c>
    </row>
    <row r="9" spans="1:9" ht="51.75" customHeight="1" thickBot="1">
      <c r="A9" s="801" t="s">
        <v>193</v>
      </c>
      <c r="B9" s="802"/>
      <c r="C9" s="108" t="s">
        <v>104</v>
      </c>
      <c r="D9" s="144">
        <f>H9</f>
        <v>51.220799999999997</v>
      </c>
      <c r="E9" s="144">
        <f>D9*5</f>
        <v>256.10399999999998</v>
      </c>
      <c r="F9" s="91" t="s">
        <v>195</v>
      </c>
      <c r="G9" s="141">
        <v>35.57</v>
      </c>
      <c r="H9" s="188">
        <f t="shared" si="0"/>
        <v>51.220799999999997</v>
      </c>
      <c r="I9" s="188">
        <f>H9*0.76</f>
        <v>38.927807999999999</v>
      </c>
    </row>
    <row r="10" spans="1:9" ht="39.75" customHeight="1" thickBot="1">
      <c r="A10" s="797" t="s">
        <v>194</v>
      </c>
      <c r="B10" s="798"/>
      <c r="C10" s="107" t="s">
        <v>105</v>
      </c>
      <c r="D10" s="193">
        <v>16</v>
      </c>
      <c r="E10" s="195">
        <f>D10*5</f>
        <v>80</v>
      </c>
      <c r="F10" s="406"/>
      <c r="H10" s="188">
        <f t="shared" si="0"/>
        <v>0</v>
      </c>
      <c r="I10" s="188">
        <f t="shared" si="1"/>
        <v>0</v>
      </c>
    </row>
    <row r="11" spans="1:9" ht="12.75" customHeight="1">
      <c r="A11" s="8" t="s">
        <v>98</v>
      </c>
    </row>
    <row r="12" spans="1:9" ht="12.75" customHeight="1"/>
    <row r="13" spans="1:9" ht="12.75" customHeight="1"/>
    <row r="14" spans="1:9" ht="12.75" customHeight="1"/>
    <row r="15" spans="1:9" ht="12.75" customHeight="1"/>
    <row r="16" spans="1:9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</sheetData>
  <sheetProtection password="CC4F" sheet="1" objects="1" scenarios="1"/>
  <mergeCells count="12">
    <mergeCell ref="A10:B10"/>
    <mergeCell ref="A6:F6"/>
    <mergeCell ref="A9:B9"/>
    <mergeCell ref="A7:B7"/>
    <mergeCell ref="A8:B8"/>
    <mergeCell ref="A3:B3"/>
    <mergeCell ref="A5:B5"/>
    <mergeCell ref="A4:B4"/>
    <mergeCell ref="A2:F2"/>
    <mergeCell ref="D3:E3"/>
    <mergeCell ref="D4:E4"/>
    <mergeCell ref="D5:E5"/>
  </mergeCells>
  <pageMargins left="0.19685039370078741" right="0.16" top="1.3125" bottom="0.16" header="0.17" footer="0.19"/>
  <pageSetup paperSize="9" scale="99" orientation="portrait" r:id="rId1"/>
  <headerFooter>
    <oddHeader>&amp;L&amp;G&amp;R&amp;"Arial Cyr,полужирный курсив" 02160, Украина
 г. Киев, ул. Вискозная, 17
 тел.: 503-77-88
 www.stalex.ua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8" tint="-0.499984740745262"/>
  </sheetPr>
  <dimension ref="A1:E338"/>
  <sheetViews>
    <sheetView view="pageBreakPreview" zoomScale="106" zoomScaleNormal="110" zoomScaleSheetLayoutView="106" workbookViewId="0">
      <selection activeCell="K318" sqref="K318"/>
    </sheetView>
  </sheetViews>
  <sheetFormatPr defaultRowHeight="12.75"/>
  <cols>
    <col min="1" max="1" width="39" customWidth="1"/>
    <col min="2" max="2" width="13" style="67" customWidth="1"/>
    <col min="3" max="3" width="18.85546875" customWidth="1"/>
    <col min="4" max="4" width="16" customWidth="1"/>
    <col min="5" max="5" width="20" customWidth="1"/>
  </cols>
  <sheetData>
    <row r="1" spans="1:5" ht="15" customHeight="1">
      <c r="A1" s="13">
        <f>'Плиты ОSB-3'!A1</f>
        <v>0</v>
      </c>
      <c r="B1" s="65"/>
      <c r="C1" s="2"/>
      <c r="D1" s="2"/>
      <c r="E1" s="2"/>
    </row>
    <row r="2" spans="1:5" ht="21" customHeight="1" thickBot="1">
      <c r="A2" s="809"/>
      <c r="B2" s="809"/>
      <c r="C2" s="809"/>
      <c r="D2" s="809"/>
      <c r="E2" s="809"/>
    </row>
    <row r="3" spans="1:5" ht="24.75" customHeight="1" thickTop="1" thickBot="1">
      <c r="A3" s="807" t="s">
        <v>3</v>
      </c>
      <c r="B3" s="808"/>
      <c r="C3" s="813" t="s">
        <v>5</v>
      </c>
      <c r="D3" s="813"/>
      <c r="E3" s="813"/>
    </row>
    <row r="4" spans="1:5" ht="31.5" customHeight="1" thickTop="1" thickBot="1">
      <c r="A4" s="58" t="s">
        <v>150</v>
      </c>
      <c r="B4" s="66" t="s">
        <v>11</v>
      </c>
      <c r="C4" s="58" t="s">
        <v>220</v>
      </c>
      <c r="D4" s="58" t="s">
        <v>121</v>
      </c>
      <c r="E4" s="58" t="s">
        <v>4</v>
      </c>
    </row>
    <row r="5" spans="1:5" ht="46.5" customHeight="1" thickTop="1" thickBot="1">
      <c r="A5" s="810" t="s">
        <v>221</v>
      </c>
      <c r="B5" s="811"/>
      <c r="C5" s="811"/>
      <c r="D5" s="811"/>
      <c r="E5" s="812"/>
    </row>
    <row r="6" spans="1:5" ht="12.75" customHeight="1" thickTop="1" thickBot="1">
      <c r="A6" s="61" t="s">
        <v>141</v>
      </c>
      <c r="B6" s="61">
        <v>500</v>
      </c>
      <c r="C6" s="59">
        <v>45.647999999999996</v>
      </c>
      <c r="D6" s="59">
        <f>(C6/100)*B6</f>
        <v>228.23999999999998</v>
      </c>
      <c r="E6" s="61" t="s">
        <v>457</v>
      </c>
    </row>
    <row r="7" spans="1:5" ht="12.75" customHeight="1" thickTop="1" thickBot="1">
      <c r="A7" s="64" t="s">
        <v>142</v>
      </c>
      <c r="B7" s="64">
        <v>500</v>
      </c>
      <c r="C7" s="62">
        <v>50.82</v>
      </c>
      <c r="D7" s="62">
        <f t="shared" ref="D7:D14" si="0">(C7/100)*B7</f>
        <v>254.1</v>
      </c>
      <c r="E7" s="64" t="s">
        <v>457</v>
      </c>
    </row>
    <row r="8" spans="1:5" ht="12.75" customHeight="1" thickTop="1" thickBot="1">
      <c r="A8" s="61" t="s">
        <v>143</v>
      </c>
      <c r="B8" s="61">
        <v>500</v>
      </c>
      <c r="C8" s="59">
        <v>53.291999999999994</v>
      </c>
      <c r="D8" s="59">
        <f t="shared" si="0"/>
        <v>266.45999999999998</v>
      </c>
      <c r="E8" s="61" t="s">
        <v>457</v>
      </c>
    </row>
    <row r="9" spans="1:5" ht="12.75" customHeight="1" thickTop="1" thickBot="1">
      <c r="A9" s="64" t="s">
        <v>144</v>
      </c>
      <c r="B9" s="64">
        <v>400</v>
      </c>
      <c r="C9" s="62">
        <v>55.967999999999996</v>
      </c>
      <c r="D9" s="62">
        <f t="shared" si="0"/>
        <v>223.87199999999999</v>
      </c>
      <c r="E9" s="64" t="s">
        <v>457</v>
      </c>
    </row>
    <row r="10" spans="1:5" ht="12.75" customHeight="1" thickTop="1" thickBot="1">
      <c r="A10" s="61" t="s">
        <v>145</v>
      </c>
      <c r="B10" s="61">
        <v>400</v>
      </c>
      <c r="C10" s="59">
        <v>63.599999999999994</v>
      </c>
      <c r="D10" s="59">
        <f t="shared" si="0"/>
        <v>254.39999999999995</v>
      </c>
      <c r="E10" s="61" t="s">
        <v>457</v>
      </c>
    </row>
    <row r="11" spans="1:5" ht="12.75" customHeight="1" thickTop="1" thickBot="1">
      <c r="A11" s="64" t="s">
        <v>146</v>
      </c>
      <c r="B11" s="64">
        <v>300</v>
      </c>
      <c r="C11" s="62">
        <v>71.087999999999994</v>
      </c>
      <c r="D11" s="62">
        <f t="shared" si="0"/>
        <v>213.26399999999998</v>
      </c>
      <c r="E11" s="64" t="s">
        <v>457</v>
      </c>
    </row>
    <row r="12" spans="1:5" ht="12.75" customHeight="1" thickTop="1" thickBot="1">
      <c r="A12" s="61" t="s">
        <v>147</v>
      </c>
      <c r="B12" s="61">
        <v>300</v>
      </c>
      <c r="C12" s="59">
        <v>76.572000000000003</v>
      </c>
      <c r="D12" s="59">
        <f t="shared" si="0"/>
        <v>229.71600000000001</v>
      </c>
      <c r="E12" s="61" t="s">
        <v>457</v>
      </c>
    </row>
    <row r="13" spans="1:5" ht="12.75" customHeight="1" thickTop="1" thickBot="1">
      <c r="A13" s="64" t="s">
        <v>148</v>
      </c>
      <c r="B13" s="64">
        <v>300</v>
      </c>
      <c r="C13" s="62">
        <v>82.067999999999998</v>
      </c>
      <c r="D13" s="62">
        <f t="shared" si="0"/>
        <v>246.20399999999998</v>
      </c>
      <c r="E13" s="64" t="s">
        <v>457</v>
      </c>
    </row>
    <row r="14" spans="1:5" ht="12.75" customHeight="1" thickTop="1" thickBot="1">
      <c r="A14" s="61" t="s">
        <v>149</v>
      </c>
      <c r="B14" s="61">
        <v>200</v>
      </c>
      <c r="C14" s="59">
        <v>88.416000000000011</v>
      </c>
      <c r="D14" s="59">
        <f t="shared" si="0"/>
        <v>176.83200000000002</v>
      </c>
      <c r="E14" s="61" t="s">
        <v>457</v>
      </c>
    </row>
    <row r="15" spans="1:5" ht="49.5" customHeight="1" thickTop="1" thickBot="1">
      <c r="A15" s="116" t="s">
        <v>175</v>
      </c>
      <c r="B15" s="117"/>
      <c r="C15" s="117"/>
      <c r="D15" s="117"/>
      <c r="E15" s="117"/>
    </row>
    <row r="16" spans="1:5" ht="12.75" customHeight="1" thickTop="1" thickBot="1">
      <c r="A16" s="59" t="s">
        <v>151</v>
      </c>
      <c r="B16" s="60">
        <v>500</v>
      </c>
      <c r="C16" s="59">
        <v>95.831999999999994</v>
      </c>
      <c r="D16" s="59">
        <f>(C16/100)*B16</f>
        <v>479.15999999999997</v>
      </c>
      <c r="E16" s="59" t="s">
        <v>457</v>
      </c>
    </row>
    <row r="17" spans="1:5" ht="12.75" customHeight="1" thickTop="1" thickBot="1">
      <c r="A17" s="62" t="s">
        <v>152</v>
      </c>
      <c r="B17" s="63">
        <v>500</v>
      </c>
      <c r="C17" s="62">
        <v>107.58</v>
      </c>
      <c r="D17" s="62">
        <f t="shared" ref="D17:D24" si="1">(C17/100)*B17</f>
        <v>537.90000000000009</v>
      </c>
      <c r="E17" s="62" t="s">
        <v>457</v>
      </c>
    </row>
    <row r="18" spans="1:5" ht="12.75" customHeight="1" thickTop="1" thickBot="1">
      <c r="A18" s="59" t="s">
        <v>153</v>
      </c>
      <c r="B18" s="60">
        <v>500</v>
      </c>
      <c r="C18" s="59">
        <v>112.104</v>
      </c>
      <c r="D18" s="59">
        <f t="shared" si="1"/>
        <v>560.52</v>
      </c>
      <c r="E18" s="59" t="s">
        <v>457</v>
      </c>
    </row>
    <row r="19" spans="1:5" ht="12.75" customHeight="1" thickTop="1" thickBot="1">
      <c r="A19" s="62" t="s">
        <v>154</v>
      </c>
      <c r="B19" s="63">
        <v>400</v>
      </c>
      <c r="C19" s="62">
        <v>120.22799999999999</v>
      </c>
      <c r="D19" s="62">
        <f t="shared" si="1"/>
        <v>480.91200000000003</v>
      </c>
      <c r="E19" s="62" t="s">
        <v>457</v>
      </c>
    </row>
    <row r="20" spans="1:5" ht="12.75" customHeight="1" thickTop="1" thickBot="1">
      <c r="A20" s="59" t="s">
        <v>155</v>
      </c>
      <c r="B20" s="60">
        <v>400</v>
      </c>
      <c r="C20" s="59">
        <v>127.428</v>
      </c>
      <c r="D20" s="59">
        <f t="shared" si="1"/>
        <v>509.71200000000005</v>
      </c>
      <c r="E20" s="59" t="s">
        <v>457</v>
      </c>
    </row>
    <row r="21" spans="1:5" ht="12.75" customHeight="1" thickTop="1" thickBot="1">
      <c r="A21" s="62" t="s">
        <v>156</v>
      </c>
      <c r="B21" s="63">
        <v>300</v>
      </c>
      <c r="C21" s="62">
        <v>161.78399999999999</v>
      </c>
      <c r="D21" s="62">
        <f t="shared" si="1"/>
        <v>485.35199999999998</v>
      </c>
      <c r="E21" s="62" t="s">
        <v>457</v>
      </c>
    </row>
    <row r="22" spans="1:5" ht="12.75" customHeight="1" thickTop="1" thickBot="1">
      <c r="A22" s="59" t="s">
        <v>157</v>
      </c>
      <c r="B22" s="60">
        <v>300</v>
      </c>
      <c r="C22" s="59">
        <v>170.256</v>
      </c>
      <c r="D22" s="59">
        <f t="shared" si="1"/>
        <v>510.76800000000003</v>
      </c>
      <c r="E22" s="59" t="s">
        <v>457</v>
      </c>
    </row>
    <row r="23" spans="1:5" ht="12.75" customHeight="1" thickTop="1" thickBot="1">
      <c r="A23" s="62" t="s">
        <v>158</v>
      </c>
      <c r="B23" s="63">
        <v>300</v>
      </c>
      <c r="C23" s="62">
        <v>188.79600000000002</v>
      </c>
      <c r="D23" s="62">
        <f t="shared" si="1"/>
        <v>566.38800000000015</v>
      </c>
      <c r="E23" s="62" t="s">
        <v>457</v>
      </c>
    </row>
    <row r="24" spans="1:5" ht="12.75" customHeight="1" thickTop="1" thickBot="1">
      <c r="A24" s="59" t="s">
        <v>159</v>
      </c>
      <c r="B24" s="60">
        <v>200</v>
      </c>
      <c r="C24" s="59">
        <v>199.79999999999998</v>
      </c>
      <c r="D24" s="59">
        <f t="shared" si="1"/>
        <v>399.59999999999997</v>
      </c>
      <c r="E24" s="59" t="s">
        <v>457</v>
      </c>
    </row>
    <row r="25" spans="1:5" ht="51" customHeight="1" thickTop="1" thickBot="1">
      <c r="A25" s="116" t="s">
        <v>176</v>
      </c>
      <c r="B25" s="117"/>
      <c r="C25" s="117"/>
      <c r="D25" s="117"/>
      <c r="E25" s="117"/>
    </row>
    <row r="26" spans="1:5" ht="13.5" customHeight="1" thickTop="1" thickBot="1">
      <c r="A26" s="131" t="s">
        <v>160</v>
      </c>
      <c r="B26" s="60">
        <v>400</v>
      </c>
      <c r="C26" s="59">
        <v>181.05599999999998</v>
      </c>
      <c r="D26" s="59">
        <f>(C26/100)*B26</f>
        <v>724.22399999999993</v>
      </c>
      <c r="E26" s="59" t="s">
        <v>457</v>
      </c>
    </row>
    <row r="27" spans="1:5" ht="13.5" customHeight="1" thickTop="1" thickBot="1">
      <c r="A27" s="132" t="s">
        <v>161</v>
      </c>
      <c r="B27" s="63">
        <v>200</v>
      </c>
      <c r="C27" s="62">
        <v>210.024</v>
      </c>
      <c r="D27" s="62">
        <f t="shared" ref="D27:D32" si="2">(C27/100)*B27</f>
        <v>420.048</v>
      </c>
      <c r="E27" s="62" t="s">
        <v>457</v>
      </c>
    </row>
    <row r="28" spans="1:5" ht="13.5" customHeight="1" thickTop="1" thickBot="1">
      <c r="A28" s="131" t="s">
        <v>162</v>
      </c>
      <c r="B28" s="60">
        <v>200</v>
      </c>
      <c r="C28" s="59">
        <v>240.18</v>
      </c>
      <c r="D28" s="59">
        <f t="shared" si="2"/>
        <v>480.36</v>
      </c>
      <c r="E28" s="59" t="s">
        <v>457</v>
      </c>
    </row>
    <row r="29" spans="1:5" ht="13.5" customHeight="1" thickTop="1" thickBot="1">
      <c r="A29" s="132" t="s">
        <v>163</v>
      </c>
      <c r="B29" s="63">
        <v>200</v>
      </c>
      <c r="C29" s="62">
        <v>258.99599999999998</v>
      </c>
      <c r="D29" s="62">
        <f t="shared" si="2"/>
        <v>517.99199999999996</v>
      </c>
      <c r="E29" s="62" t="s">
        <v>457</v>
      </c>
    </row>
    <row r="30" spans="1:5" ht="13.5" customHeight="1" thickTop="1" thickBot="1">
      <c r="A30" s="131" t="s">
        <v>164</v>
      </c>
      <c r="B30" s="60">
        <v>200</v>
      </c>
      <c r="C30" s="59">
        <v>281.55599999999998</v>
      </c>
      <c r="D30" s="59">
        <f t="shared" si="2"/>
        <v>563.11199999999997</v>
      </c>
      <c r="E30" s="59" t="s">
        <v>457</v>
      </c>
    </row>
    <row r="31" spans="1:5" ht="13.5" customHeight="1" thickTop="1" thickBot="1">
      <c r="A31" s="132" t="s">
        <v>165</v>
      </c>
      <c r="B31" s="63">
        <v>200</v>
      </c>
      <c r="C31" s="62">
        <v>325.44</v>
      </c>
      <c r="D31" s="62">
        <f t="shared" si="2"/>
        <v>650.88</v>
      </c>
      <c r="E31" s="62" t="s">
        <v>457</v>
      </c>
    </row>
    <row r="32" spans="1:5" ht="13.5" customHeight="1" thickTop="1" thickBot="1">
      <c r="A32" s="131" t="s">
        <v>166</v>
      </c>
      <c r="B32" s="60">
        <v>100</v>
      </c>
      <c r="C32" s="59">
        <v>383.76</v>
      </c>
      <c r="D32" s="59">
        <f t="shared" si="2"/>
        <v>383.76</v>
      </c>
      <c r="E32" s="59" t="s">
        <v>457</v>
      </c>
    </row>
    <row r="33" spans="1:5" ht="51.75" customHeight="1" thickTop="1" thickBot="1">
      <c r="A33" s="117" t="s">
        <v>174</v>
      </c>
      <c r="B33" s="117"/>
      <c r="C33" s="117"/>
      <c r="D33" s="117"/>
      <c r="E33" s="117"/>
    </row>
    <row r="34" spans="1:5" ht="13.5" customHeight="1" thickTop="1" thickBot="1">
      <c r="A34" s="133">
        <v>35</v>
      </c>
      <c r="B34" s="60">
        <v>1000</v>
      </c>
      <c r="C34" s="59">
        <v>70.436520000000016</v>
      </c>
      <c r="D34" s="59">
        <f t="shared" ref="D34:D39" si="3">(C34/100)*B34</f>
        <v>704.36520000000019</v>
      </c>
      <c r="E34" s="59" t="s">
        <v>457</v>
      </c>
    </row>
    <row r="35" spans="1:5" ht="13.5" customHeight="1" thickTop="1" thickBot="1">
      <c r="A35" s="134">
        <v>55</v>
      </c>
      <c r="B35" s="63">
        <v>1000</v>
      </c>
      <c r="C35" s="62">
        <v>82.175940000000011</v>
      </c>
      <c r="D35" s="62">
        <f t="shared" si="3"/>
        <v>821.75940000000014</v>
      </c>
      <c r="E35" s="62" t="s">
        <v>457</v>
      </c>
    </row>
    <row r="36" spans="1:5" ht="13.5" customHeight="1" thickTop="1" thickBot="1">
      <c r="A36" s="133">
        <v>85</v>
      </c>
      <c r="B36" s="60">
        <v>500</v>
      </c>
      <c r="C36" s="59">
        <v>96.049800000000033</v>
      </c>
      <c r="D36" s="59">
        <f t="shared" si="3"/>
        <v>480.24900000000014</v>
      </c>
      <c r="E36" s="59" t="s">
        <v>457</v>
      </c>
    </row>
    <row r="37" spans="1:5" ht="13.5" customHeight="1" thickTop="1" thickBot="1">
      <c r="A37" s="134">
        <v>105</v>
      </c>
      <c r="B37" s="63">
        <v>500</v>
      </c>
      <c r="C37" s="62">
        <v>107.10315000000003</v>
      </c>
      <c r="D37" s="62">
        <f t="shared" si="3"/>
        <v>535.51575000000014</v>
      </c>
      <c r="E37" s="62" t="s">
        <v>457</v>
      </c>
    </row>
    <row r="38" spans="1:5" ht="13.5" customHeight="1" thickTop="1" thickBot="1">
      <c r="A38" s="133">
        <v>135</v>
      </c>
      <c r="B38" s="60">
        <v>250</v>
      </c>
      <c r="C38" s="59">
        <v>128.06640000000002</v>
      </c>
      <c r="D38" s="59">
        <f t="shared" si="3"/>
        <v>320.16600000000005</v>
      </c>
      <c r="E38" s="59" t="s">
        <v>457</v>
      </c>
    </row>
    <row r="39" spans="1:5" ht="13.5" customHeight="1" thickTop="1" thickBot="1">
      <c r="A39" s="134">
        <v>155</v>
      </c>
      <c r="B39" s="63">
        <v>250</v>
      </c>
      <c r="C39" s="62">
        <v>149.27358600000002</v>
      </c>
      <c r="D39" s="62">
        <f t="shared" si="3"/>
        <v>373.18396500000006</v>
      </c>
      <c r="E39" s="62" t="s">
        <v>457</v>
      </c>
    </row>
    <row r="40" spans="1:5" ht="56.25" customHeight="1" thickTop="1" thickBot="1">
      <c r="A40" s="117" t="s">
        <v>444</v>
      </c>
      <c r="B40" s="117"/>
      <c r="C40" s="117"/>
      <c r="D40" s="117"/>
    </row>
    <row r="41" spans="1:5" ht="12.75" customHeight="1" thickTop="1" thickBot="1">
      <c r="A41" s="133" t="s">
        <v>222</v>
      </c>
      <c r="B41" s="60">
        <v>200</v>
      </c>
      <c r="C41" s="59">
        <v>93.610440000000025</v>
      </c>
      <c r="D41" s="59">
        <f>(C41/100)*B41</f>
        <v>187.22088000000005</v>
      </c>
      <c r="E41" s="59" t="s">
        <v>457</v>
      </c>
    </row>
    <row r="42" spans="1:5" ht="12.75" customHeight="1" thickTop="1" thickBot="1">
      <c r="A42" s="134" t="s">
        <v>223</v>
      </c>
      <c r="B42" s="63">
        <v>200</v>
      </c>
      <c r="C42" s="62">
        <v>163.22367600000001</v>
      </c>
      <c r="D42" s="62">
        <f>(C42/100)*B42</f>
        <v>326.44735200000002</v>
      </c>
      <c r="E42" s="62" t="s">
        <v>457</v>
      </c>
    </row>
    <row r="43" spans="1:5" ht="70.5" customHeight="1" thickTop="1" thickBot="1">
      <c r="A43" s="117" t="s">
        <v>445</v>
      </c>
      <c r="B43" s="117"/>
      <c r="C43" s="117"/>
      <c r="D43" s="117"/>
      <c r="E43" s="117"/>
    </row>
    <row r="44" spans="1:5" ht="12.75" customHeight="1" thickTop="1" thickBot="1">
      <c r="A44" s="133" t="s">
        <v>224</v>
      </c>
      <c r="B44" s="60">
        <v>200</v>
      </c>
      <c r="C44" s="59">
        <v>137.21400000000003</v>
      </c>
      <c r="D44" s="59">
        <f>(C44/100)*B44</f>
        <v>274.42800000000005</v>
      </c>
      <c r="E44" s="59" t="s">
        <v>457</v>
      </c>
    </row>
    <row r="45" spans="1:5" ht="12.75" customHeight="1" thickTop="1" thickBot="1">
      <c r="A45" s="134" t="s">
        <v>225</v>
      </c>
      <c r="B45" s="63">
        <v>200</v>
      </c>
      <c r="C45" s="62">
        <v>50.052618000000002</v>
      </c>
      <c r="D45" s="62">
        <f>(C45/100)*B45</f>
        <v>100.105236</v>
      </c>
      <c r="E45" s="62" t="s">
        <v>457</v>
      </c>
    </row>
    <row r="46" spans="1:5" ht="48.75" customHeight="1" thickTop="1" thickBot="1">
      <c r="A46" s="117" t="s">
        <v>446</v>
      </c>
      <c r="B46" s="117"/>
      <c r="C46" s="117"/>
      <c r="D46" s="117"/>
    </row>
    <row r="47" spans="1:5" ht="12.75" customHeight="1" thickTop="1" thickBot="1">
      <c r="A47" s="60" t="s">
        <v>226</v>
      </c>
      <c r="B47" s="60">
        <v>200</v>
      </c>
      <c r="C47" s="59">
        <v>162</v>
      </c>
      <c r="D47" s="59">
        <f>(C47/100)*B47</f>
        <v>324</v>
      </c>
      <c r="E47" s="59" t="s">
        <v>457</v>
      </c>
    </row>
    <row r="48" spans="1:5" ht="12.75" customHeight="1" thickTop="1">
      <c r="A48" s="30" t="s">
        <v>133</v>
      </c>
    </row>
    <row r="49" spans="1:5" ht="12.75" customHeight="1"/>
    <row r="50" spans="1:5" ht="12.75" customHeight="1"/>
    <row r="51" spans="1:5" ht="12.75" customHeight="1"/>
    <row r="52" spans="1:5" ht="12.75" customHeight="1"/>
    <row r="53" spans="1:5" ht="12.75" customHeight="1" thickBot="1">
      <c r="A53" s="13">
        <f>A1</f>
        <v>0</v>
      </c>
    </row>
    <row r="54" spans="1:5" ht="25.5" customHeight="1" thickTop="1" thickBot="1">
      <c r="A54" s="807" t="s">
        <v>3</v>
      </c>
      <c r="B54" s="808"/>
      <c r="C54" s="560" t="s">
        <v>5</v>
      </c>
      <c r="D54" s="561"/>
      <c r="E54" s="561"/>
    </row>
    <row r="55" spans="1:5" ht="36" customHeight="1" thickTop="1" thickBot="1">
      <c r="A55" s="57" t="s">
        <v>150</v>
      </c>
      <c r="B55" s="68" t="s">
        <v>11</v>
      </c>
      <c r="C55" s="57" t="s">
        <v>220</v>
      </c>
      <c r="D55" s="57" t="s">
        <v>121</v>
      </c>
      <c r="E55" s="57" t="s">
        <v>4</v>
      </c>
    </row>
    <row r="56" spans="1:5" ht="45" customHeight="1" thickTop="1" thickBot="1">
      <c r="A56" s="116" t="s">
        <v>177</v>
      </c>
      <c r="B56" s="117"/>
      <c r="C56" s="117"/>
      <c r="D56" s="117"/>
      <c r="E56" s="117"/>
    </row>
    <row r="57" spans="1:5" ht="12.75" customHeight="1" thickTop="1" thickBot="1">
      <c r="A57" s="59" t="s">
        <v>167</v>
      </c>
      <c r="B57" s="60">
        <v>250</v>
      </c>
      <c r="C57" s="59">
        <v>38.816316000000008</v>
      </c>
      <c r="D57" s="59">
        <f>(C57/100)*B57</f>
        <v>97.040790000000015</v>
      </c>
      <c r="E57" s="59" t="s">
        <v>457</v>
      </c>
    </row>
    <row r="58" spans="1:5" ht="12.75" customHeight="1" thickTop="1" thickBot="1">
      <c r="A58" s="62" t="s">
        <v>168</v>
      </c>
      <c r="B58" s="63">
        <v>250</v>
      </c>
      <c r="C58" s="62">
        <v>47.658996000000009</v>
      </c>
      <c r="D58" s="62">
        <f t="shared" ref="D58:D63" si="4">(C58/100)*B58</f>
        <v>119.14749000000002</v>
      </c>
      <c r="E58" s="62" t="s">
        <v>457</v>
      </c>
    </row>
    <row r="59" spans="1:5" ht="12.75" customHeight="1" thickTop="1" thickBot="1">
      <c r="A59" s="59" t="s">
        <v>169</v>
      </c>
      <c r="B59" s="60">
        <v>250</v>
      </c>
      <c r="C59" s="59">
        <v>50.860656000000013</v>
      </c>
      <c r="D59" s="59">
        <f t="shared" si="4"/>
        <v>127.15164000000004</v>
      </c>
      <c r="E59" s="59" t="s">
        <v>457</v>
      </c>
    </row>
    <row r="60" spans="1:5" ht="12.75" customHeight="1" thickTop="1" thickBot="1">
      <c r="A60" s="62" t="s">
        <v>170</v>
      </c>
      <c r="B60" s="63">
        <v>250</v>
      </c>
      <c r="C60" s="62">
        <v>70.924392000000012</v>
      </c>
      <c r="D60" s="62">
        <f t="shared" si="4"/>
        <v>177.31098000000003</v>
      </c>
      <c r="E60" s="62" t="s">
        <v>457</v>
      </c>
    </row>
    <row r="61" spans="1:5" ht="12.75" customHeight="1" thickTop="1" thickBot="1">
      <c r="A61" s="59" t="s">
        <v>171</v>
      </c>
      <c r="B61" s="60">
        <v>200</v>
      </c>
      <c r="C61" s="59">
        <v>89.692218000000011</v>
      </c>
      <c r="D61" s="59">
        <f t="shared" si="4"/>
        <v>179.38443600000002</v>
      </c>
      <c r="E61" s="59" t="s">
        <v>457</v>
      </c>
    </row>
    <row r="62" spans="1:5" ht="12.75" customHeight="1" thickTop="1" thickBot="1">
      <c r="A62" s="62" t="s">
        <v>172</v>
      </c>
      <c r="B62" s="63">
        <v>200</v>
      </c>
      <c r="C62" s="62">
        <v>148.48079400000003</v>
      </c>
      <c r="D62" s="62">
        <f t="shared" si="4"/>
        <v>296.96158800000006</v>
      </c>
      <c r="E62" s="62" t="s">
        <v>457</v>
      </c>
    </row>
    <row r="63" spans="1:5" ht="12.75" customHeight="1" thickTop="1" thickBot="1">
      <c r="A63" s="59" t="s">
        <v>173</v>
      </c>
      <c r="B63" s="60">
        <v>200</v>
      </c>
      <c r="C63" s="59">
        <v>231.09886800000007</v>
      </c>
      <c r="D63" s="59">
        <f t="shared" si="4"/>
        <v>462.19773600000013</v>
      </c>
      <c r="E63" s="59" t="s">
        <v>457</v>
      </c>
    </row>
    <row r="64" spans="1:5" ht="53.25" customHeight="1" thickTop="1" thickBot="1">
      <c r="A64" s="120" t="s">
        <v>227</v>
      </c>
      <c r="B64" s="121"/>
      <c r="C64" s="121"/>
      <c r="D64" s="121"/>
      <c r="E64" s="121"/>
    </row>
    <row r="65" spans="1:5" ht="12.75" customHeight="1" thickTop="1" thickBot="1">
      <c r="A65" s="59" t="s">
        <v>228</v>
      </c>
      <c r="B65" s="60">
        <v>100</v>
      </c>
      <c r="C65" s="59">
        <v>146.84947200000002</v>
      </c>
      <c r="D65" s="59">
        <f>(C65/100)*B65</f>
        <v>146.84947200000002</v>
      </c>
      <c r="E65" s="59" t="s">
        <v>457</v>
      </c>
    </row>
    <row r="66" spans="1:5" ht="12.75" customHeight="1" thickTop="1" thickBot="1">
      <c r="A66" s="62" t="s">
        <v>229</v>
      </c>
      <c r="B66" s="63">
        <v>100</v>
      </c>
      <c r="C66" s="62">
        <v>164.96172000000001</v>
      </c>
      <c r="D66" s="62">
        <f t="shared" ref="D66:D83" si="5">(C66/100)*B66</f>
        <v>164.96172000000001</v>
      </c>
      <c r="E66" s="62" t="s">
        <v>457</v>
      </c>
    </row>
    <row r="67" spans="1:5" ht="12.75" customHeight="1" thickTop="1" thickBot="1">
      <c r="A67" s="59" t="s">
        <v>230</v>
      </c>
      <c r="B67" s="60">
        <v>100</v>
      </c>
      <c r="C67" s="59">
        <v>194.50846800000008</v>
      </c>
      <c r="D67" s="59">
        <f t="shared" si="5"/>
        <v>194.50846800000008</v>
      </c>
      <c r="E67" s="59" t="s">
        <v>457</v>
      </c>
    </row>
    <row r="68" spans="1:5" ht="12.75" customHeight="1" thickTop="1" thickBot="1">
      <c r="A68" s="62" t="s">
        <v>231</v>
      </c>
      <c r="B68" s="63">
        <v>100</v>
      </c>
      <c r="C68" s="62">
        <v>219.43567800000002</v>
      </c>
      <c r="D68" s="62">
        <f t="shared" si="5"/>
        <v>219.43567800000002</v>
      </c>
      <c r="E68" s="62" t="s">
        <v>457</v>
      </c>
    </row>
    <row r="69" spans="1:5" ht="12.75" customHeight="1" thickTop="1" thickBot="1">
      <c r="A69" s="59" t="s">
        <v>232</v>
      </c>
      <c r="B69" s="60">
        <v>100</v>
      </c>
      <c r="C69" s="59">
        <v>250.12587600000003</v>
      </c>
      <c r="D69" s="59">
        <f t="shared" si="5"/>
        <v>250.12587600000003</v>
      </c>
      <c r="E69" s="59" t="s">
        <v>457</v>
      </c>
    </row>
    <row r="70" spans="1:5" ht="12.75" customHeight="1" thickTop="1" thickBot="1">
      <c r="A70" s="62" t="s">
        <v>233</v>
      </c>
      <c r="B70" s="63">
        <v>50</v>
      </c>
      <c r="C70" s="62">
        <v>236.45021400000005</v>
      </c>
      <c r="D70" s="62">
        <f t="shared" si="5"/>
        <v>118.22510700000002</v>
      </c>
      <c r="E70" s="62" t="s">
        <v>457</v>
      </c>
    </row>
    <row r="71" spans="1:5" ht="12.75" customHeight="1" thickTop="1" thickBot="1">
      <c r="A71" s="59" t="s">
        <v>234</v>
      </c>
      <c r="B71" s="60">
        <v>50</v>
      </c>
      <c r="C71" s="59">
        <v>279.36770400000006</v>
      </c>
      <c r="D71" s="59">
        <f t="shared" si="5"/>
        <v>139.68385200000003</v>
      </c>
      <c r="E71" s="59" t="s">
        <v>457</v>
      </c>
    </row>
    <row r="72" spans="1:5" ht="12.75" customHeight="1" thickTop="1" thickBot="1">
      <c r="A72" s="62" t="s">
        <v>235</v>
      </c>
      <c r="B72" s="63">
        <v>50</v>
      </c>
      <c r="C72" s="62">
        <v>321.67535400000003</v>
      </c>
      <c r="D72" s="62">
        <f t="shared" si="5"/>
        <v>160.83767700000001</v>
      </c>
      <c r="E72" s="62" t="s">
        <v>457</v>
      </c>
    </row>
    <row r="73" spans="1:5" ht="12.75" customHeight="1" thickTop="1" thickBot="1">
      <c r="A73" s="59" t="s">
        <v>236</v>
      </c>
      <c r="B73" s="60">
        <v>50</v>
      </c>
      <c r="C73" s="59">
        <v>379.56441600000011</v>
      </c>
      <c r="D73" s="59">
        <f t="shared" si="5"/>
        <v>189.78220800000005</v>
      </c>
      <c r="E73" s="59" t="s">
        <v>457</v>
      </c>
    </row>
    <row r="74" spans="1:5" ht="12.75" customHeight="1" thickTop="1" thickBot="1">
      <c r="A74" s="62" t="s">
        <v>237</v>
      </c>
      <c r="B74" s="63">
        <v>50</v>
      </c>
      <c r="C74" s="62">
        <v>447.86649600000015</v>
      </c>
      <c r="D74" s="62">
        <f t="shared" si="5"/>
        <v>223.93324800000008</v>
      </c>
      <c r="E74" s="62" t="s">
        <v>457</v>
      </c>
    </row>
    <row r="75" spans="1:5" ht="12.75" customHeight="1" thickTop="1" thickBot="1">
      <c r="A75" s="59" t="s">
        <v>238</v>
      </c>
      <c r="B75" s="60">
        <v>50</v>
      </c>
      <c r="C75" s="59">
        <v>525.98700000000008</v>
      </c>
      <c r="D75" s="59">
        <f t="shared" si="5"/>
        <v>262.99350000000004</v>
      </c>
      <c r="E75" s="59" t="s">
        <v>457</v>
      </c>
    </row>
    <row r="76" spans="1:5" ht="14.25" thickTop="1" thickBot="1">
      <c r="A76" s="62" t="s">
        <v>239</v>
      </c>
      <c r="B76" s="63">
        <v>50</v>
      </c>
      <c r="C76" s="62">
        <v>288.82022400000005</v>
      </c>
      <c r="D76" s="62">
        <f t="shared" si="5"/>
        <v>144.41011200000003</v>
      </c>
      <c r="E76" s="62" t="s">
        <v>457</v>
      </c>
    </row>
    <row r="77" spans="1:5" ht="14.25" thickTop="1" thickBot="1">
      <c r="A77" s="59" t="s">
        <v>240</v>
      </c>
      <c r="B77" s="60">
        <v>50</v>
      </c>
      <c r="C77" s="59">
        <v>334.61920800000001</v>
      </c>
      <c r="D77" s="59">
        <f t="shared" si="5"/>
        <v>167.30960400000001</v>
      </c>
      <c r="E77" s="59" t="s">
        <v>457</v>
      </c>
    </row>
    <row r="78" spans="1:5" ht="14.25" thickTop="1" thickBot="1">
      <c r="A78" s="62" t="s">
        <v>241</v>
      </c>
      <c r="B78" s="63">
        <v>50</v>
      </c>
      <c r="C78" s="62">
        <v>448.62879600000014</v>
      </c>
      <c r="D78" s="62">
        <f t="shared" si="5"/>
        <v>224.31439800000007</v>
      </c>
      <c r="E78" s="62" t="s">
        <v>457</v>
      </c>
    </row>
    <row r="79" spans="1:5" ht="14.25" thickTop="1" thickBot="1">
      <c r="A79" s="59" t="s">
        <v>242</v>
      </c>
      <c r="B79" s="60">
        <v>50</v>
      </c>
      <c r="C79" s="59">
        <v>453.67522200000002</v>
      </c>
      <c r="D79" s="59">
        <f t="shared" si="5"/>
        <v>226.83761100000001</v>
      </c>
      <c r="E79" s="59" t="s">
        <v>457</v>
      </c>
    </row>
    <row r="80" spans="1:5" ht="14.25" thickTop="1" thickBot="1">
      <c r="A80" s="62" t="s">
        <v>243</v>
      </c>
      <c r="B80" s="63">
        <v>25</v>
      </c>
      <c r="C80" s="62">
        <v>442.31695200000007</v>
      </c>
      <c r="D80" s="62">
        <f t="shared" si="5"/>
        <v>110.57923800000002</v>
      </c>
      <c r="E80" s="62" t="s">
        <v>457</v>
      </c>
    </row>
    <row r="81" spans="1:5" ht="14.25" thickTop="1" thickBot="1">
      <c r="A81" s="59" t="s">
        <v>244</v>
      </c>
      <c r="B81" s="60">
        <v>25</v>
      </c>
      <c r="C81" s="59">
        <v>519.8123700000001</v>
      </c>
      <c r="D81" s="59">
        <f t="shared" si="5"/>
        <v>129.95309250000003</v>
      </c>
      <c r="E81" s="59" t="s">
        <v>457</v>
      </c>
    </row>
    <row r="82" spans="1:5" ht="14.25" thickTop="1" thickBot="1">
      <c r="A82" s="62" t="s">
        <v>245</v>
      </c>
      <c r="B82" s="63">
        <v>25</v>
      </c>
      <c r="C82" s="62">
        <v>578.58570000000009</v>
      </c>
      <c r="D82" s="62">
        <f t="shared" si="5"/>
        <v>144.64642500000002</v>
      </c>
      <c r="E82" s="62" t="s">
        <v>457</v>
      </c>
    </row>
    <row r="83" spans="1:5" ht="14.25" thickTop="1" thickBot="1">
      <c r="A83" s="59" t="s">
        <v>246</v>
      </c>
      <c r="B83" s="60">
        <v>25</v>
      </c>
      <c r="C83" s="59">
        <v>682.09079400000007</v>
      </c>
      <c r="D83" s="59">
        <f t="shared" si="5"/>
        <v>170.52269850000002</v>
      </c>
      <c r="E83" s="59" t="s">
        <v>457</v>
      </c>
    </row>
    <row r="84" spans="1:5" ht="59.25" customHeight="1" thickTop="1" thickBot="1">
      <c r="A84" s="120" t="s">
        <v>247</v>
      </c>
      <c r="B84" s="121"/>
      <c r="C84" s="121"/>
      <c r="D84" s="121"/>
      <c r="E84" s="121"/>
    </row>
    <row r="85" spans="1:5" ht="12.75" customHeight="1" thickTop="1" thickBot="1">
      <c r="A85" s="59" t="s">
        <v>248</v>
      </c>
      <c r="B85" s="60">
        <v>200</v>
      </c>
      <c r="C85" s="59">
        <v>37.627128000000006</v>
      </c>
      <c r="D85" s="59">
        <f>(C85/100)*B85</f>
        <v>75.254256000000012</v>
      </c>
      <c r="E85" s="59" t="s">
        <v>457</v>
      </c>
    </row>
    <row r="86" spans="1:5" ht="12.75" customHeight="1" thickTop="1" thickBot="1">
      <c r="A86" s="62" t="s">
        <v>249</v>
      </c>
      <c r="B86" s="63">
        <v>200</v>
      </c>
      <c r="C86" s="62">
        <v>42.658308000000005</v>
      </c>
      <c r="D86" s="62">
        <f t="shared" ref="D86:D97" si="6">(C86/100)*B86</f>
        <v>85.31661600000001</v>
      </c>
      <c r="E86" s="62" t="s">
        <v>457</v>
      </c>
    </row>
    <row r="87" spans="1:5" ht="12.75" customHeight="1" thickTop="1" thickBot="1">
      <c r="A87" s="59" t="s">
        <v>250</v>
      </c>
      <c r="B87" s="60">
        <v>100</v>
      </c>
      <c r="C87" s="59">
        <v>62.783028000000016</v>
      </c>
      <c r="D87" s="59">
        <f t="shared" si="6"/>
        <v>62.783028000000016</v>
      </c>
      <c r="E87" s="59" t="s">
        <v>457</v>
      </c>
    </row>
    <row r="88" spans="1:5" ht="12.75" customHeight="1" thickTop="1" thickBot="1">
      <c r="A88" s="62" t="s">
        <v>251</v>
      </c>
      <c r="B88" s="63">
        <v>100</v>
      </c>
      <c r="C88" s="62">
        <v>81.276426000000015</v>
      </c>
      <c r="D88" s="62">
        <f t="shared" si="6"/>
        <v>81.276426000000015</v>
      </c>
      <c r="E88" s="62" t="s">
        <v>457</v>
      </c>
    </row>
    <row r="89" spans="1:5" ht="12.75" customHeight="1" thickTop="1" thickBot="1">
      <c r="A89" s="59" t="s">
        <v>252</v>
      </c>
      <c r="B89" s="60">
        <v>100</v>
      </c>
      <c r="C89" s="59">
        <v>106.43232600000002</v>
      </c>
      <c r="D89" s="59">
        <f t="shared" si="6"/>
        <v>106.43232600000002</v>
      </c>
      <c r="E89" s="59" t="s">
        <v>457</v>
      </c>
    </row>
    <row r="90" spans="1:5" ht="12.75" customHeight="1" thickTop="1" thickBot="1">
      <c r="A90" s="62" t="s">
        <v>253</v>
      </c>
      <c r="B90" s="63">
        <v>100</v>
      </c>
      <c r="C90" s="62">
        <v>115.62566400000001</v>
      </c>
      <c r="D90" s="62">
        <f t="shared" si="6"/>
        <v>115.625664</v>
      </c>
      <c r="E90" s="62" t="s">
        <v>457</v>
      </c>
    </row>
    <row r="91" spans="1:5" ht="12.75" customHeight="1" thickTop="1" thickBot="1">
      <c r="A91" s="59" t="s">
        <v>254</v>
      </c>
      <c r="B91" s="60">
        <v>50</v>
      </c>
      <c r="C91" s="59">
        <v>175.35949200000005</v>
      </c>
      <c r="D91" s="59">
        <f t="shared" si="6"/>
        <v>87.679746000000023</v>
      </c>
      <c r="E91" s="59" t="s">
        <v>457</v>
      </c>
    </row>
    <row r="92" spans="1:5" ht="12.75" customHeight="1" thickTop="1" thickBot="1">
      <c r="A92" s="62" t="s">
        <v>255</v>
      </c>
      <c r="B92" s="63">
        <v>50</v>
      </c>
      <c r="C92" s="62">
        <v>208.82446200000004</v>
      </c>
      <c r="D92" s="62">
        <f t="shared" si="6"/>
        <v>104.41223100000001</v>
      </c>
      <c r="E92" s="62" t="s">
        <v>457</v>
      </c>
    </row>
    <row r="93" spans="1:5" ht="12.75" customHeight="1" thickTop="1" thickBot="1">
      <c r="A93" s="59" t="s">
        <v>256</v>
      </c>
      <c r="B93" s="60">
        <v>50</v>
      </c>
      <c r="C93" s="59">
        <v>240.39892800000004</v>
      </c>
      <c r="D93" s="59">
        <f t="shared" si="6"/>
        <v>120.19946400000001</v>
      </c>
      <c r="E93" s="59" t="s">
        <v>457</v>
      </c>
    </row>
    <row r="94" spans="1:5" ht="12.75" customHeight="1" thickTop="1" thickBot="1">
      <c r="A94" s="62" t="s">
        <v>257</v>
      </c>
      <c r="B94" s="63">
        <v>50</v>
      </c>
      <c r="C94" s="62">
        <v>270.70797600000003</v>
      </c>
      <c r="D94" s="62">
        <f t="shared" si="6"/>
        <v>135.35398800000002</v>
      </c>
      <c r="E94" s="62" t="s">
        <v>457</v>
      </c>
    </row>
    <row r="95" spans="1:5" ht="12.75" customHeight="1" thickTop="1" thickBot="1">
      <c r="A95" s="59" t="s">
        <v>258</v>
      </c>
      <c r="B95" s="60">
        <v>50</v>
      </c>
      <c r="C95" s="59">
        <v>334.23805800000008</v>
      </c>
      <c r="D95" s="59">
        <f t="shared" si="6"/>
        <v>167.11902900000004</v>
      </c>
      <c r="E95" s="59" t="s">
        <v>457</v>
      </c>
    </row>
    <row r="96" spans="1:5" ht="12.75" customHeight="1" thickTop="1" thickBot="1">
      <c r="A96" s="62" t="s">
        <v>259</v>
      </c>
      <c r="B96" s="63">
        <v>50</v>
      </c>
      <c r="C96" s="62">
        <v>432.77295600000008</v>
      </c>
      <c r="D96" s="62">
        <f t="shared" si="6"/>
        <v>216.38647800000004</v>
      </c>
      <c r="E96" s="62" t="s">
        <v>457</v>
      </c>
    </row>
    <row r="97" spans="1:5" ht="12.75" customHeight="1" thickTop="1" thickBot="1">
      <c r="A97" s="59" t="s">
        <v>260</v>
      </c>
      <c r="B97" s="60">
        <v>50</v>
      </c>
      <c r="C97" s="59">
        <v>449.93995200000001</v>
      </c>
      <c r="D97" s="59">
        <f t="shared" si="6"/>
        <v>224.969976</v>
      </c>
      <c r="E97" s="59" t="s">
        <v>457</v>
      </c>
    </row>
    <row r="98" spans="1:5" ht="45.75" customHeight="1" thickTop="1" thickBot="1">
      <c r="A98" s="120" t="s">
        <v>261</v>
      </c>
      <c r="B98" s="120"/>
      <c r="C98" s="120"/>
      <c r="D98" s="120"/>
    </row>
    <row r="99" spans="1:5" ht="12.75" customHeight="1" thickTop="1" thickBot="1">
      <c r="A99" s="59" t="s">
        <v>262</v>
      </c>
      <c r="B99" s="60">
        <v>200</v>
      </c>
      <c r="C99" s="59">
        <v>40.78305000000001</v>
      </c>
      <c r="D99" s="59">
        <f>(C99/100)*B99</f>
        <v>81.56610000000002</v>
      </c>
      <c r="E99" s="59" t="s">
        <v>457</v>
      </c>
    </row>
    <row r="100" spans="1:5" ht="12.75" customHeight="1" thickTop="1" thickBot="1">
      <c r="A100" s="62" t="s">
        <v>263</v>
      </c>
      <c r="B100" s="63">
        <v>200</v>
      </c>
      <c r="C100" s="62">
        <v>52.095582000000007</v>
      </c>
      <c r="D100" s="62">
        <f>(C100/100)*B100</f>
        <v>104.19116400000001</v>
      </c>
      <c r="E100" s="62" t="s">
        <v>457</v>
      </c>
    </row>
    <row r="101" spans="1:5" ht="12.75" customHeight="1" thickTop="1" thickBot="1">
      <c r="A101" s="59" t="s">
        <v>264</v>
      </c>
      <c r="B101" s="60">
        <v>100</v>
      </c>
      <c r="C101" s="59">
        <v>69.094872000000009</v>
      </c>
      <c r="D101" s="59">
        <f>(C101/100)*B101</f>
        <v>69.094872000000009</v>
      </c>
      <c r="E101" s="59" t="s">
        <v>457</v>
      </c>
    </row>
    <row r="102" spans="1:5" ht="12.75" customHeight="1" thickTop="1" thickBot="1">
      <c r="A102" s="62" t="s">
        <v>265</v>
      </c>
      <c r="B102" s="63">
        <v>100</v>
      </c>
      <c r="C102" s="62">
        <v>86.307606000000021</v>
      </c>
      <c r="D102" s="62">
        <f>(C102/100)*B102</f>
        <v>86.307606000000021</v>
      </c>
      <c r="E102" s="62" t="s">
        <v>457</v>
      </c>
    </row>
    <row r="103" spans="1:5" ht="48" customHeight="1" thickTop="1" thickBot="1">
      <c r="A103" s="120" t="s">
        <v>266</v>
      </c>
      <c r="B103" s="120"/>
      <c r="C103" s="120"/>
      <c r="D103" s="120"/>
    </row>
    <row r="104" spans="1:5" ht="12.75" customHeight="1" thickTop="1" thickBot="1">
      <c r="A104" s="59" t="s">
        <v>267</v>
      </c>
      <c r="B104" s="60">
        <v>200</v>
      </c>
      <c r="C104" s="59">
        <v>17.731098000000003</v>
      </c>
      <c r="D104" s="59">
        <f t="shared" ref="D104:D109" si="7">(C104/100)*B104</f>
        <v>35.462196000000006</v>
      </c>
      <c r="E104" s="59" t="s">
        <v>457</v>
      </c>
    </row>
    <row r="105" spans="1:5" ht="12.75" customHeight="1" thickTop="1" thickBot="1">
      <c r="A105" s="62" t="s">
        <v>268</v>
      </c>
      <c r="B105" s="63">
        <v>200</v>
      </c>
      <c r="C105" s="62">
        <v>27.610506000000001</v>
      </c>
      <c r="D105" s="62">
        <f t="shared" si="7"/>
        <v>55.221012000000002</v>
      </c>
      <c r="E105" s="62" t="s">
        <v>457</v>
      </c>
    </row>
    <row r="106" spans="1:5" ht="12.75" customHeight="1" thickTop="1" thickBot="1">
      <c r="A106" s="59" t="s">
        <v>269</v>
      </c>
      <c r="B106" s="60">
        <v>200</v>
      </c>
      <c r="C106" s="59">
        <v>33.068574000000005</v>
      </c>
      <c r="D106" s="59">
        <f t="shared" si="7"/>
        <v>66.13714800000001</v>
      </c>
      <c r="E106" s="59" t="s">
        <v>457</v>
      </c>
    </row>
    <row r="107" spans="1:5" ht="12.75" customHeight="1" thickTop="1" thickBot="1">
      <c r="A107" s="62" t="s">
        <v>270</v>
      </c>
      <c r="B107" s="63">
        <v>100</v>
      </c>
      <c r="C107" s="62">
        <v>39.075498000000003</v>
      </c>
      <c r="D107" s="62">
        <f t="shared" si="7"/>
        <v>39.075498000000003</v>
      </c>
      <c r="E107" s="62" t="s">
        <v>457</v>
      </c>
    </row>
    <row r="108" spans="1:5" ht="12.75" customHeight="1" thickTop="1" thickBot="1">
      <c r="A108" s="59" t="s">
        <v>271</v>
      </c>
      <c r="B108" s="60">
        <v>100</v>
      </c>
      <c r="C108" s="59">
        <v>46.713744000000005</v>
      </c>
      <c r="D108" s="59">
        <f t="shared" si="7"/>
        <v>46.713744000000005</v>
      </c>
      <c r="E108" s="59" t="s">
        <v>457</v>
      </c>
    </row>
    <row r="109" spans="1:5" ht="12.75" customHeight="1" thickTop="1" thickBot="1">
      <c r="A109" s="122" t="s">
        <v>272</v>
      </c>
      <c r="B109" s="63">
        <v>100</v>
      </c>
      <c r="C109" s="122">
        <v>60.053994000000003</v>
      </c>
      <c r="D109" s="122">
        <f t="shared" si="7"/>
        <v>60.053994000000003</v>
      </c>
      <c r="E109" s="122" t="s">
        <v>457</v>
      </c>
    </row>
    <row r="110" spans="1:5" ht="13.5" thickTop="1">
      <c r="A110" s="123" t="s">
        <v>133</v>
      </c>
      <c r="B110" s="124"/>
      <c r="C110" s="125"/>
      <c r="D110" s="126"/>
      <c r="E110" s="6"/>
    </row>
    <row r="111" spans="1:5" ht="15">
      <c r="A111" s="127"/>
      <c r="B111" s="124"/>
      <c r="C111" s="125"/>
      <c r="D111" s="126"/>
      <c r="E111" s="6"/>
    </row>
    <row r="112" spans="1:5" ht="15">
      <c r="A112" s="127"/>
      <c r="B112" s="124"/>
      <c r="C112" s="125"/>
      <c r="D112" s="126"/>
      <c r="E112" s="6"/>
    </row>
    <row r="113" spans="1:5" ht="12.75" customHeight="1" thickBot="1">
      <c r="A113" s="13">
        <f>A53</f>
        <v>0</v>
      </c>
    </row>
    <row r="114" spans="1:5" ht="25.5" customHeight="1" thickTop="1" thickBot="1">
      <c r="A114" s="807" t="s">
        <v>3</v>
      </c>
      <c r="B114" s="808"/>
      <c r="C114" s="560" t="s">
        <v>5</v>
      </c>
      <c r="D114" s="561"/>
      <c r="E114" s="561"/>
    </row>
    <row r="115" spans="1:5" ht="36" customHeight="1" thickTop="1" thickBot="1">
      <c r="A115" s="115" t="s">
        <v>150</v>
      </c>
      <c r="B115" s="68" t="s">
        <v>11</v>
      </c>
      <c r="C115" s="115" t="s">
        <v>220</v>
      </c>
      <c r="D115" s="115" t="s">
        <v>121</v>
      </c>
      <c r="E115" s="115" t="s">
        <v>4</v>
      </c>
    </row>
    <row r="116" spans="1:5" ht="50.25" customHeight="1" thickTop="1" thickBot="1">
      <c r="A116" s="120" t="s">
        <v>273</v>
      </c>
      <c r="B116" s="128"/>
      <c r="C116" s="128"/>
      <c r="D116" s="128"/>
    </row>
    <row r="117" spans="1:5" ht="14.25" thickTop="1" thickBot="1">
      <c r="A117" s="59" t="s">
        <v>274</v>
      </c>
      <c r="B117" s="60">
        <v>200</v>
      </c>
      <c r="C117" s="59">
        <v>18.066510000000001</v>
      </c>
      <c r="D117" s="59">
        <f>(C117/100)*B117</f>
        <v>36.133020000000002</v>
      </c>
      <c r="E117" s="59" t="s">
        <v>457</v>
      </c>
    </row>
    <row r="118" spans="1:5" ht="14.25" thickTop="1" thickBot="1">
      <c r="A118" s="62" t="s">
        <v>275</v>
      </c>
      <c r="B118" s="63">
        <v>200</v>
      </c>
      <c r="C118" s="62">
        <v>28.174608000000006</v>
      </c>
      <c r="D118" s="62">
        <f>(C118/100)*B118</f>
        <v>56.349216000000013</v>
      </c>
      <c r="E118" s="62" t="s">
        <v>457</v>
      </c>
    </row>
    <row r="119" spans="1:5" ht="14.25" thickTop="1" thickBot="1">
      <c r="A119" s="59" t="s">
        <v>276</v>
      </c>
      <c r="B119" s="60">
        <v>200</v>
      </c>
      <c r="C119" s="59">
        <v>33.739398000000001</v>
      </c>
      <c r="D119" s="59">
        <f>(C119/100)*B119</f>
        <v>67.478796000000003</v>
      </c>
      <c r="E119" s="59" t="s">
        <v>457</v>
      </c>
    </row>
    <row r="120" spans="1:5" ht="57.75" customHeight="1" thickTop="1" thickBot="1">
      <c r="A120" s="120" t="s">
        <v>277</v>
      </c>
      <c r="B120" s="120"/>
      <c r="C120" s="120"/>
      <c r="D120" s="120"/>
    </row>
    <row r="121" spans="1:5" ht="14.25" thickTop="1" thickBot="1">
      <c r="A121" s="59" t="s">
        <v>278</v>
      </c>
      <c r="B121" s="60">
        <v>50</v>
      </c>
      <c r="C121" s="59">
        <v>395.17632000000009</v>
      </c>
      <c r="D121" s="59">
        <f>(C121/100)*B121</f>
        <v>197.58816000000004</v>
      </c>
      <c r="E121" s="59" t="s">
        <v>457</v>
      </c>
    </row>
    <row r="122" spans="1:5" ht="14.25" thickTop="1" thickBot="1">
      <c r="A122" s="62" t="s">
        <v>279</v>
      </c>
      <c r="B122" s="63">
        <v>25</v>
      </c>
      <c r="C122" s="62">
        <v>430.34884200000005</v>
      </c>
      <c r="D122" s="62">
        <f t="shared" ref="D122:D133" si="8">(C122/100)*B122</f>
        <v>107.58721050000003</v>
      </c>
      <c r="E122" s="62" t="s">
        <v>457</v>
      </c>
    </row>
    <row r="123" spans="1:5" ht="14.25" thickTop="1" thickBot="1">
      <c r="A123" s="59" t="s">
        <v>280</v>
      </c>
      <c r="B123" s="60">
        <v>25</v>
      </c>
      <c r="C123" s="59">
        <v>809.60833800000012</v>
      </c>
      <c r="D123" s="59">
        <f t="shared" si="8"/>
        <v>202.40208450000003</v>
      </c>
      <c r="E123" s="59" t="s">
        <v>457</v>
      </c>
    </row>
    <row r="124" spans="1:5" ht="14.25" thickTop="1" thickBot="1">
      <c r="A124" s="62" t="s">
        <v>281</v>
      </c>
      <c r="B124" s="63">
        <v>25</v>
      </c>
      <c r="C124" s="62">
        <v>986.67538200000013</v>
      </c>
      <c r="D124" s="62">
        <f t="shared" si="8"/>
        <v>246.66884550000003</v>
      </c>
      <c r="E124" s="62" t="s">
        <v>457</v>
      </c>
    </row>
    <row r="125" spans="1:5" ht="14.25" thickTop="1" thickBot="1">
      <c r="A125" s="59" t="s">
        <v>282</v>
      </c>
      <c r="B125" s="60">
        <v>25</v>
      </c>
      <c r="C125" s="59">
        <v>536.15608200000008</v>
      </c>
      <c r="D125" s="59">
        <f t="shared" si="8"/>
        <v>134.03902050000002</v>
      </c>
      <c r="E125" s="59" t="s">
        <v>457</v>
      </c>
    </row>
    <row r="126" spans="1:5" ht="14.25" thickTop="1" thickBot="1">
      <c r="A126" s="62" t="s">
        <v>283</v>
      </c>
      <c r="B126" s="63">
        <v>25</v>
      </c>
      <c r="C126" s="62">
        <v>578.79914400000007</v>
      </c>
      <c r="D126" s="62">
        <f t="shared" si="8"/>
        <v>144.69978600000002</v>
      </c>
      <c r="E126" s="62" t="s">
        <v>457</v>
      </c>
    </row>
    <row r="127" spans="1:5" ht="14.25" thickTop="1" thickBot="1">
      <c r="A127" s="59" t="s">
        <v>284</v>
      </c>
      <c r="B127" s="60">
        <v>25</v>
      </c>
      <c r="C127" s="59">
        <v>913.03720200000021</v>
      </c>
      <c r="D127" s="59">
        <f t="shared" si="8"/>
        <v>228.25930050000008</v>
      </c>
      <c r="E127" s="59" t="s">
        <v>457</v>
      </c>
    </row>
    <row r="128" spans="1:5" ht="14.25" thickTop="1" thickBot="1">
      <c r="A128" s="62" t="s">
        <v>285</v>
      </c>
      <c r="B128" s="63">
        <v>25</v>
      </c>
      <c r="C128" s="62">
        <v>1118.0654100000002</v>
      </c>
      <c r="D128" s="62">
        <f t="shared" si="8"/>
        <v>279.51635250000004</v>
      </c>
      <c r="E128" s="62" t="s">
        <v>457</v>
      </c>
    </row>
    <row r="129" spans="1:5" ht="14.25" thickTop="1" thickBot="1">
      <c r="A129" s="59" t="s">
        <v>286</v>
      </c>
      <c r="B129" s="60">
        <v>25</v>
      </c>
      <c r="C129" s="59">
        <v>745.60563000000002</v>
      </c>
      <c r="D129" s="59">
        <f t="shared" si="8"/>
        <v>186.4014075</v>
      </c>
      <c r="E129" s="59" t="s">
        <v>457</v>
      </c>
    </row>
    <row r="130" spans="1:5" ht="14.25" thickTop="1" thickBot="1">
      <c r="A130" s="62" t="s">
        <v>287</v>
      </c>
      <c r="B130" s="63">
        <v>25</v>
      </c>
      <c r="C130" s="62">
        <v>861.7953960000001</v>
      </c>
      <c r="D130" s="62">
        <f t="shared" si="8"/>
        <v>215.44884900000002</v>
      </c>
      <c r="E130" s="62" t="s">
        <v>457</v>
      </c>
    </row>
    <row r="131" spans="1:5" ht="14.25" thickTop="1" thickBot="1">
      <c r="A131" s="59" t="s">
        <v>288</v>
      </c>
      <c r="B131" s="60">
        <v>25</v>
      </c>
      <c r="C131" s="59">
        <v>1005.9615720000003</v>
      </c>
      <c r="D131" s="59">
        <f t="shared" si="8"/>
        <v>251.4903930000001</v>
      </c>
      <c r="E131" s="59" t="s">
        <v>457</v>
      </c>
    </row>
    <row r="132" spans="1:5" ht="14.25" thickTop="1" thickBot="1">
      <c r="A132" s="62" t="s">
        <v>289</v>
      </c>
      <c r="B132" s="63">
        <v>25</v>
      </c>
      <c r="C132" s="62">
        <v>1476.7885440000002</v>
      </c>
      <c r="D132" s="62">
        <f t="shared" si="8"/>
        <v>369.19713600000006</v>
      </c>
      <c r="E132" s="62" t="s">
        <v>457</v>
      </c>
    </row>
    <row r="133" spans="1:5" ht="14.25" thickTop="1" thickBot="1">
      <c r="A133" s="59" t="s">
        <v>290</v>
      </c>
      <c r="B133" s="60">
        <v>25</v>
      </c>
      <c r="C133" s="59">
        <v>1793.7528840000002</v>
      </c>
      <c r="D133" s="59">
        <f t="shared" si="8"/>
        <v>448.43822100000006</v>
      </c>
      <c r="E133" s="59" t="s">
        <v>457</v>
      </c>
    </row>
    <row r="134" spans="1:5" ht="39.75" customHeight="1" thickTop="1" thickBot="1">
      <c r="A134" s="120" t="s">
        <v>291</v>
      </c>
      <c r="B134" s="120"/>
      <c r="C134" s="120"/>
      <c r="D134" s="120"/>
    </row>
    <row r="135" spans="1:5" ht="12.75" customHeight="1" thickTop="1" thickBot="1">
      <c r="A135" s="59" t="s">
        <v>292</v>
      </c>
      <c r="B135" s="60">
        <v>100</v>
      </c>
      <c r="C135" s="59">
        <v>152.53623000000002</v>
      </c>
      <c r="D135" s="59">
        <f>(C135/100)*B135</f>
        <v>152.53623000000002</v>
      </c>
      <c r="E135" s="59" t="s">
        <v>457</v>
      </c>
    </row>
    <row r="136" spans="1:5" ht="12.75" customHeight="1" thickTop="1" thickBot="1">
      <c r="A136" s="62" t="s">
        <v>293</v>
      </c>
      <c r="B136" s="63">
        <v>75</v>
      </c>
      <c r="C136" s="62">
        <v>190.71221400000005</v>
      </c>
      <c r="D136" s="62">
        <f t="shared" ref="D136:D142" si="9">(C136/100)*B136</f>
        <v>143.03416050000004</v>
      </c>
      <c r="E136" s="62" t="s">
        <v>457</v>
      </c>
    </row>
    <row r="137" spans="1:5" ht="12.75" customHeight="1" thickTop="1" thickBot="1">
      <c r="A137" s="59" t="s">
        <v>294</v>
      </c>
      <c r="B137" s="60">
        <v>65</v>
      </c>
      <c r="C137" s="59">
        <v>204.83000999999999</v>
      </c>
      <c r="D137" s="59">
        <f t="shared" si="9"/>
        <v>133.13950650000001</v>
      </c>
      <c r="E137" s="59" t="s">
        <v>457</v>
      </c>
    </row>
    <row r="138" spans="1:5" ht="12.75" customHeight="1" thickTop="1" thickBot="1">
      <c r="A138" s="62" t="s">
        <v>295</v>
      </c>
      <c r="B138" s="63">
        <v>100</v>
      </c>
      <c r="C138" s="62">
        <v>282.84379200000006</v>
      </c>
      <c r="D138" s="62">
        <f t="shared" si="9"/>
        <v>282.84379200000006</v>
      </c>
      <c r="E138" s="62" t="s">
        <v>457</v>
      </c>
    </row>
    <row r="139" spans="1:5" ht="12.75" customHeight="1" thickTop="1" thickBot="1">
      <c r="A139" s="59" t="s">
        <v>296</v>
      </c>
      <c r="B139" s="60">
        <v>300</v>
      </c>
      <c r="C139" s="59">
        <v>344.75779800000004</v>
      </c>
      <c r="D139" s="59">
        <f t="shared" si="9"/>
        <v>1034.2733940000001</v>
      </c>
      <c r="E139" s="59" t="s">
        <v>457</v>
      </c>
    </row>
    <row r="140" spans="1:5" ht="12.75" customHeight="1" thickTop="1" thickBot="1">
      <c r="A140" s="62" t="s">
        <v>297</v>
      </c>
      <c r="B140" s="63">
        <v>100</v>
      </c>
      <c r="C140" s="62">
        <v>453.96489600000007</v>
      </c>
      <c r="D140" s="62">
        <f t="shared" si="9"/>
        <v>453.96489600000007</v>
      </c>
      <c r="E140" s="62" t="s">
        <v>457</v>
      </c>
    </row>
    <row r="141" spans="1:5" ht="12.75" customHeight="1" thickTop="1" thickBot="1">
      <c r="A141" s="59" t="s">
        <v>298</v>
      </c>
      <c r="B141" s="60">
        <v>100</v>
      </c>
      <c r="C141" s="59">
        <v>561.1442760000001</v>
      </c>
      <c r="D141" s="59">
        <f t="shared" si="9"/>
        <v>561.1442760000001</v>
      </c>
      <c r="E141" s="59" t="s">
        <v>457</v>
      </c>
    </row>
    <row r="142" spans="1:5" ht="12.75" customHeight="1" thickTop="1" thickBot="1">
      <c r="A142" s="62" t="s">
        <v>299</v>
      </c>
      <c r="B142" s="63">
        <v>100</v>
      </c>
      <c r="C142" s="62">
        <v>701.42272200000014</v>
      </c>
      <c r="D142" s="62">
        <f t="shared" si="9"/>
        <v>701.42272200000014</v>
      </c>
      <c r="E142" s="62" t="s">
        <v>457</v>
      </c>
    </row>
    <row r="143" spans="1:5" ht="43.5" customHeight="1" thickTop="1" thickBot="1">
      <c r="A143" s="120" t="s">
        <v>300</v>
      </c>
      <c r="B143" s="120"/>
      <c r="C143" s="120"/>
      <c r="D143" s="120"/>
    </row>
    <row r="144" spans="1:5" ht="12.75" customHeight="1" thickTop="1" thickBot="1">
      <c r="A144" s="59" t="s">
        <v>301</v>
      </c>
      <c r="B144" s="60">
        <v>500</v>
      </c>
      <c r="C144" s="59">
        <v>7.6382460000000005</v>
      </c>
      <c r="D144" s="59">
        <f>(C144/100)*B144</f>
        <v>38.191229999999997</v>
      </c>
      <c r="E144" s="59" t="s">
        <v>457</v>
      </c>
    </row>
    <row r="145" spans="1:5" ht="12.75" customHeight="1" thickTop="1" thickBot="1">
      <c r="A145" s="62" t="s">
        <v>302</v>
      </c>
      <c r="B145" s="63">
        <v>500</v>
      </c>
      <c r="C145" s="62">
        <v>8.0346419999999998</v>
      </c>
      <c r="D145" s="62">
        <f t="shared" ref="D145:D156" si="10">(C145/100)*B145</f>
        <v>40.173209999999997</v>
      </c>
      <c r="E145" s="62" t="s">
        <v>457</v>
      </c>
    </row>
    <row r="146" spans="1:5" ht="12.75" customHeight="1" thickTop="1" thickBot="1">
      <c r="A146" s="59" t="s">
        <v>303</v>
      </c>
      <c r="B146" s="60">
        <v>500</v>
      </c>
      <c r="C146" s="59">
        <v>12.516966000000005</v>
      </c>
      <c r="D146" s="59">
        <f t="shared" si="10"/>
        <v>62.584830000000025</v>
      </c>
      <c r="E146" s="59" t="s">
        <v>457</v>
      </c>
    </row>
    <row r="147" spans="1:5" ht="12.75" customHeight="1" thickTop="1" thickBot="1">
      <c r="A147" s="62" t="s">
        <v>304</v>
      </c>
      <c r="B147" s="63">
        <v>500</v>
      </c>
      <c r="C147" s="62">
        <v>13.294512000000005</v>
      </c>
      <c r="D147" s="62">
        <f t="shared" si="10"/>
        <v>66.47256000000003</v>
      </c>
      <c r="E147" s="62" t="s">
        <v>457</v>
      </c>
    </row>
    <row r="148" spans="1:5" ht="12.75" customHeight="1" thickTop="1" thickBot="1">
      <c r="A148" s="59" t="s">
        <v>305</v>
      </c>
      <c r="B148" s="60">
        <v>500</v>
      </c>
      <c r="C148" s="59">
        <v>14.087304000000003</v>
      </c>
      <c r="D148" s="59">
        <f t="shared" si="10"/>
        <v>70.436520000000016</v>
      </c>
      <c r="E148" s="59" t="s">
        <v>457</v>
      </c>
    </row>
    <row r="149" spans="1:5" ht="12.75" customHeight="1" thickTop="1" thickBot="1">
      <c r="A149" s="62" t="s">
        <v>306</v>
      </c>
      <c r="B149" s="63">
        <v>400</v>
      </c>
      <c r="C149" s="62">
        <v>14.483700000000002</v>
      </c>
      <c r="D149" s="62">
        <f t="shared" si="10"/>
        <v>57.93480000000001</v>
      </c>
      <c r="E149" s="62" t="s">
        <v>457</v>
      </c>
    </row>
    <row r="150" spans="1:5" ht="12.75" customHeight="1" thickTop="1" thickBot="1">
      <c r="A150" s="59" t="s">
        <v>307</v>
      </c>
      <c r="B150" s="60">
        <v>350</v>
      </c>
      <c r="C150" s="59">
        <v>16.450434000000001</v>
      </c>
      <c r="D150" s="59">
        <f t="shared" si="10"/>
        <v>57.576519000000012</v>
      </c>
      <c r="E150" s="59" t="s">
        <v>457</v>
      </c>
    </row>
    <row r="151" spans="1:5" ht="12.75" customHeight="1" thickTop="1" thickBot="1">
      <c r="A151" s="62" t="s">
        <v>308</v>
      </c>
      <c r="B151" s="63">
        <v>500</v>
      </c>
      <c r="C151" s="62">
        <v>17.624376000000005</v>
      </c>
      <c r="D151" s="62">
        <f t="shared" si="10"/>
        <v>88.121880000000033</v>
      </c>
      <c r="E151" s="62" t="s">
        <v>457</v>
      </c>
    </row>
    <row r="152" spans="1:5" ht="12.75" customHeight="1" thickTop="1" thickBot="1">
      <c r="A152" s="59" t="s">
        <v>309</v>
      </c>
      <c r="B152" s="60">
        <v>300</v>
      </c>
      <c r="C152" s="59">
        <v>18.020772000000001</v>
      </c>
      <c r="D152" s="59">
        <f t="shared" si="10"/>
        <v>54.062316000000003</v>
      </c>
      <c r="E152" s="59" t="s">
        <v>457</v>
      </c>
    </row>
    <row r="153" spans="1:5" ht="12.75" customHeight="1" thickTop="1" thickBot="1">
      <c r="A153" s="62" t="s">
        <v>310</v>
      </c>
      <c r="B153" s="63">
        <v>300</v>
      </c>
      <c r="C153" s="62">
        <v>18.798318000000002</v>
      </c>
      <c r="D153" s="62">
        <f t="shared" si="10"/>
        <v>56.394954000000006</v>
      </c>
      <c r="E153" s="62" t="s">
        <v>457</v>
      </c>
    </row>
    <row r="154" spans="1:5" ht="12.75" customHeight="1" thickTop="1" thickBot="1">
      <c r="A154" s="59" t="s">
        <v>311</v>
      </c>
      <c r="B154" s="60">
        <v>250</v>
      </c>
      <c r="C154" s="59">
        <v>20.368656000000001</v>
      </c>
      <c r="D154" s="59">
        <f t="shared" si="10"/>
        <v>50.921640000000004</v>
      </c>
      <c r="E154" s="59" t="s">
        <v>457</v>
      </c>
    </row>
    <row r="155" spans="1:5" ht="12.75" customHeight="1" thickTop="1" thickBot="1">
      <c r="A155" s="62" t="s">
        <v>312</v>
      </c>
      <c r="B155" s="63">
        <v>250</v>
      </c>
      <c r="C155" s="62">
        <v>21.542598000000009</v>
      </c>
      <c r="D155" s="62">
        <f t="shared" si="10"/>
        <v>53.856495000000024</v>
      </c>
      <c r="E155" s="62" t="s">
        <v>457</v>
      </c>
    </row>
    <row r="156" spans="1:5" ht="12.75" customHeight="1" thickTop="1" thickBot="1">
      <c r="A156" s="59" t="s">
        <v>313</v>
      </c>
      <c r="B156" s="60">
        <v>100</v>
      </c>
      <c r="C156" s="59">
        <v>24.241140000000005</v>
      </c>
      <c r="D156" s="59">
        <f t="shared" si="10"/>
        <v>24.241140000000005</v>
      </c>
      <c r="E156" s="59" t="s">
        <v>457</v>
      </c>
    </row>
    <row r="157" spans="1:5" ht="41.25" customHeight="1" thickTop="1" thickBot="1">
      <c r="A157" s="120" t="s">
        <v>314</v>
      </c>
      <c r="B157" s="120"/>
      <c r="C157" s="120"/>
      <c r="D157" s="120"/>
    </row>
    <row r="158" spans="1:5" ht="12.75" customHeight="1" thickTop="1" thickBot="1">
      <c r="A158" s="59" t="s">
        <v>315</v>
      </c>
      <c r="B158" s="60">
        <v>1000</v>
      </c>
      <c r="C158" s="59">
        <v>7.6687380000000012</v>
      </c>
      <c r="D158" s="59">
        <f>(C158/100)*B158</f>
        <v>76.687380000000019</v>
      </c>
      <c r="E158" s="59" t="s">
        <v>457</v>
      </c>
    </row>
    <row r="159" spans="1:5" ht="12.75" customHeight="1" thickTop="1" thickBot="1">
      <c r="A159" s="62" t="s">
        <v>316</v>
      </c>
      <c r="B159" s="63">
        <v>1000</v>
      </c>
      <c r="C159" s="62">
        <v>8.3853000000000026</v>
      </c>
      <c r="D159" s="62">
        <f t="shared" ref="D159:D165" si="11">(C159/100)*B159</f>
        <v>83.853000000000023</v>
      </c>
      <c r="E159" s="62" t="s">
        <v>457</v>
      </c>
    </row>
    <row r="160" spans="1:5" ht="12.75" customHeight="1" thickTop="1" thickBot="1">
      <c r="A160" s="59" t="s">
        <v>317</v>
      </c>
      <c r="B160" s="60">
        <v>1000</v>
      </c>
      <c r="C160" s="59">
        <v>8.8884180000000015</v>
      </c>
      <c r="D160" s="59">
        <f t="shared" si="11"/>
        <v>88.884180000000015</v>
      </c>
      <c r="E160" s="59" t="s">
        <v>457</v>
      </c>
    </row>
    <row r="161" spans="1:5" ht="12.75" customHeight="1" thickTop="1" thickBot="1">
      <c r="A161" s="62" t="s">
        <v>318</v>
      </c>
      <c r="B161" s="63">
        <v>500</v>
      </c>
      <c r="C161" s="62">
        <v>10.016622000000003</v>
      </c>
      <c r="D161" s="62">
        <f t="shared" si="11"/>
        <v>50.083110000000012</v>
      </c>
      <c r="E161" s="62" t="s">
        <v>457</v>
      </c>
    </row>
    <row r="162" spans="1:5" ht="12.75" customHeight="1" thickTop="1" thickBot="1">
      <c r="A162" s="59" t="s">
        <v>319</v>
      </c>
      <c r="B162" s="60">
        <v>500</v>
      </c>
      <c r="C162" s="59">
        <v>11.846142000000002</v>
      </c>
      <c r="D162" s="59">
        <f t="shared" si="11"/>
        <v>59.230710000000016</v>
      </c>
      <c r="E162" s="59" t="s">
        <v>457</v>
      </c>
    </row>
    <row r="163" spans="1:5" ht="12.75" customHeight="1" thickTop="1" thickBot="1">
      <c r="A163" s="62" t="s">
        <v>320</v>
      </c>
      <c r="B163" s="63">
        <v>500</v>
      </c>
      <c r="C163" s="62">
        <v>14.681898000000002</v>
      </c>
      <c r="D163" s="62">
        <f t="shared" si="11"/>
        <v>73.409490000000005</v>
      </c>
      <c r="E163" s="62" t="s">
        <v>457</v>
      </c>
    </row>
    <row r="164" spans="1:5" ht="12.75" customHeight="1" thickTop="1" thickBot="1">
      <c r="A164" s="59" t="s">
        <v>321</v>
      </c>
      <c r="B164" s="60">
        <v>500</v>
      </c>
      <c r="C164" s="59">
        <v>17.731098000000003</v>
      </c>
      <c r="D164" s="59">
        <f t="shared" si="11"/>
        <v>88.655490000000015</v>
      </c>
      <c r="E164" s="59" t="s">
        <v>457</v>
      </c>
    </row>
    <row r="165" spans="1:5" ht="12.75" customHeight="1" thickTop="1" thickBot="1">
      <c r="A165" s="62" t="s">
        <v>322</v>
      </c>
      <c r="B165" s="63">
        <v>250</v>
      </c>
      <c r="C165" s="62">
        <v>20.139966000000005</v>
      </c>
      <c r="D165" s="62">
        <f t="shared" si="11"/>
        <v>50.34991500000001</v>
      </c>
      <c r="E165" s="62" t="s">
        <v>457</v>
      </c>
    </row>
    <row r="166" spans="1:5" ht="12.75" customHeight="1" thickTop="1">
      <c r="A166" s="123" t="s">
        <v>133</v>
      </c>
      <c r="B166" s="130"/>
      <c r="C166" s="129"/>
      <c r="D166" s="129"/>
      <c r="E166" s="129"/>
    </row>
    <row r="167" spans="1:5" ht="12.75" customHeight="1">
      <c r="A167" s="129"/>
      <c r="B167" s="130"/>
      <c r="C167" s="129"/>
      <c r="D167" s="129"/>
      <c r="E167" s="129"/>
    </row>
    <row r="168" spans="1:5" ht="12.75" customHeight="1">
      <c r="A168" s="129"/>
      <c r="B168" s="130"/>
      <c r="C168" s="129"/>
      <c r="D168" s="129"/>
      <c r="E168" s="129"/>
    </row>
    <row r="169" spans="1:5" ht="12.75" customHeight="1">
      <c r="A169" s="129"/>
      <c r="B169" s="130"/>
      <c r="C169" s="129"/>
      <c r="D169" s="129"/>
      <c r="E169" s="129"/>
    </row>
    <row r="170" spans="1:5" ht="12.75" customHeight="1">
      <c r="A170" s="129"/>
      <c r="B170" s="130"/>
      <c r="C170" s="129"/>
      <c r="D170" s="129"/>
      <c r="E170" s="129"/>
    </row>
    <row r="171" spans="1:5" ht="12.75" customHeight="1">
      <c r="A171" s="129"/>
      <c r="B171" s="130"/>
      <c r="C171" s="129"/>
      <c r="D171" s="129"/>
      <c r="E171" s="129"/>
    </row>
    <row r="172" spans="1:5" ht="12.75" customHeight="1">
      <c r="A172" s="129"/>
      <c r="B172" s="130"/>
      <c r="C172" s="129"/>
      <c r="D172" s="129"/>
      <c r="E172" s="129"/>
    </row>
    <row r="173" spans="1:5" ht="12.75" customHeight="1">
      <c r="A173" s="129"/>
      <c r="B173" s="130"/>
      <c r="C173" s="129"/>
      <c r="D173" s="129"/>
      <c r="E173" s="129"/>
    </row>
    <row r="174" spans="1:5" ht="12.75" customHeight="1" thickBot="1">
      <c r="A174" s="13">
        <f>A113</f>
        <v>0</v>
      </c>
    </row>
    <row r="175" spans="1:5" ht="25.5" customHeight="1" thickTop="1" thickBot="1">
      <c r="A175" s="807" t="s">
        <v>3</v>
      </c>
      <c r="B175" s="808"/>
      <c r="C175" s="560" t="s">
        <v>5</v>
      </c>
      <c r="D175" s="561"/>
      <c r="E175" s="561"/>
    </row>
    <row r="176" spans="1:5" ht="36" customHeight="1" thickTop="1" thickBot="1">
      <c r="A176" s="115" t="s">
        <v>150</v>
      </c>
      <c r="B176" s="68" t="s">
        <v>11</v>
      </c>
      <c r="C176" s="115" t="s">
        <v>220</v>
      </c>
      <c r="D176" s="115" t="s">
        <v>121</v>
      </c>
      <c r="E176" s="115" t="s">
        <v>4</v>
      </c>
    </row>
    <row r="177" spans="1:5" ht="37.5" customHeight="1" thickTop="1" thickBot="1">
      <c r="A177" s="120" t="s">
        <v>323</v>
      </c>
      <c r="B177" s="120"/>
      <c r="C177" s="120"/>
      <c r="D177" s="120"/>
    </row>
    <row r="178" spans="1:5" ht="12.75" customHeight="1" thickTop="1" thickBot="1">
      <c r="A178" s="59" t="s">
        <v>315</v>
      </c>
      <c r="B178" s="60">
        <v>1000</v>
      </c>
      <c r="C178" s="59">
        <v>10.595970000000001</v>
      </c>
      <c r="D178" s="59">
        <f>(C178/100)*B178</f>
        <v>105.95970000000001</v>
      </c>
      <c r="E178" s="59" t="s">
        <v>457</v>
      </c>
    </row>
    <row r="179" spans="1:5" ht="12.75" customHeight="1" thickTop="1" thickBot="1">
      <c r="A179" s="62" t="s">
        <v>316</v>
      </c>
      <c r="B179" s="63">
        <v>1000</v>
      </c>
      <c r="C179" s="62">
        <v>10.763676000000002</v>
      </c>
      <c r="D179" s="62">
        <f t="shared" ref="D179:D185" si="12">(C179/100)*B179</f>
        <v>107.63676000000002</v>
      </c>
      <c r="E179" s="62" t="s">
        <v>457</v>
      </c>
    </row>
    <row r="180" spans="1:5" ht="12.75" customHeight="1" thickTop="1" thickBot="1">
      <c r="A180" s="59" t="s">
        <v>317</v>
      </c>
      <c r="B180" s="60">
        <v>1000</v>
      </c>
      <c r="C180" s="59">
        <v>11.602206000000001</v>
      </c>
      <c r="D180" s="59">
        <f t="shared" si="12"/>
        <v>116.02206000000001</v>
      </c>
      <c r="E180" s="59" t="s">
        <v>457</v>
      </c>
    </row>
    <row r="181" spans="1:5" ht="12.75" customHeight="1" thickTop="1" thickBot="1">
      <c r="A181" s="62" t="s">
        <v>318</v>
      </c>
      <c r="B181" s="63">
        <v>500</v>
      </c>
      <c r="C181" s="62">
        <v>12.577950000000003</v>
      </c>
      <c r="D181" s="62">
        <f t="shared" si="12"/>
        <v>62.889750000000021</v>
      </c>
      <c r="E181" s="62" t="s">
        <v>457</v>
      </c>
    </row>
    <row r="182" spans="1:5" ht="12.75" customHeight="1" thickTop="1" thickBot="1">
      <c r="A182" s="59" t="s">
        <v>319</v>
      </c>
      <c r="B182" s="60">
        <v>500</v>
      </c>
      <c r="C182" s="59">
        <v>15.459444000000005</v>
      </c>
      <c r="D182" s="59">
        <f t="shared" si="12"/>
        <v>77.297220000000024</v>
      </c>
      <c r="E182" s="59" t="s">
        <v>457</v>
      </c>
    </row>
    <row r="183" spans="1:5" ht="12.75" customHeight="1" thickTop="1" thickBot="1">
      <c r="A183" s="62" t="s">
        <v>320</v>
      </c>
      <c r="B183" s="63">
        <v>500</v>
      </c>
      <c r="C183" s="62">
        <v>18.645858000000004</v>
      </c>
      <c r="D183" s="62">
        <f t="shared" si="12"/>
        <v>93.22929000000002</v>
      </c>
      <c r="E183" s="62" t="s">
        <v>457</v>
      </c>
    </row>
    <row r="184" spans="1:5" ht="12.75" customHeight="1" thickTop="1" thickBot="1">
      <c r="A184" s="59" t="s">
        <v>321</v>
      </c>
      <c r="B184" s="60">
        <v>500</v>
      </c>
      <c r="C184" s="59">
        <v>22.503096000000006</v>
      </c>
      <c r="D184" s="59">
        <f t="shared" si="12"/>
        <v>112.51548000000003</v>
      </c>
      <c r="E184" s="59" t="s">
        <v>457</v>
      </c>
    </row>
    <row r="185" spans="1:5" ht="12.75" customHeight="1" thickTop="1" thickBot="1">
      <c r="A185" s="62" t="s">
        <v>322</v>
      </c>
      <c r="B185" s="63">
        <v>250</v>
      </c>
      <c r="C185" s="62">
        <v>26.375580000000003</v>
      </c>
      <c r="D185" s="62">
        <f t="shared" si="12"/>
        <v>65.938950000000006</v>
      </c>
      <c r="E185" s="62" t="s">
        <v>457</v>
      </c>
    </row>
    <row r="186" spans="1:5" ht="45.75" customHeight="1" thickTop="1" thickBot="1">
      <c r="A186" s="120" t="s">
        <v>324</v>
      </c>
      <c r="B186" s="120"/>
      <c r="C186" s="120"/>
      <c r="D186" s="120"/>
    </row>
    <row r="187" spans="1:5" ht="12.75" customHeight="1" thickTop="1" thickBot="1">
      <c r="A187" s="59" t="s">
        <v>325</v>
      </c>
      <c r="B187" s="60">
        <v>1000</v>
      </c>
      <c r="C187" s="59">
        <v>4.9549500000000002</v>
      </c>
      <c r="D187" s="59">
        <f>(C187/100)*B187</f>
        <v>49.549500000000002</v>
      </c>
      <c r="E187" s="59" t="s">
        <v>457</v>
      </c>
    </row>
    <row r="188" spans="1:5" ht="12.75" customHeight="1" thickTop="1" thickBot="1">
      <c r="A188" s="62" t="s">
        <v>326</v>
      </c>
      <c r="B188" s="63">
        <v>1000</v>
      </c>
      <c r="C188" s="62">
        <v>6.4490580000000017</v>
      </c>
      <c r="D188" s="62">
        <f t="shared" ref="D188:D201" si="13">(C188/100)*B188</f>
        <v>64.490580000000023</v>
      </c>
      <c r="E188" s="62" t="s">
        <v>457</v>
      </c>
    </row>
    <row r="189" spans="1:5" ht="12.75" customHeight="1" thickTop="1" thickBot="1">
      <c r="A189" s="59" t="s">
        <v>327</v>
      </c>
      <c r="B189" s="60">
        <v>500</v>
      </c>
      <c r="C189" s="59">
        <v>8.4310380000000009</v>
      </c>
      <c r="D189" s="59">
        <f t="shared" si="13"/>
        <v>42.155190000000005</v>
      </c>
      <c r="E189" s="59" t="s">
        <v>457</v>
      </c>
    </row>
    <row r="190" spans="1:5" ht="12.75" customHeight="1" thickTop="1" thickBot="1">
      <c r="A190" s="62" t="s">
        <v>328</v>
      </c>
      <c r="B190" s="63">
        <v>500</v>
      </c>
      <c r="C190" s="62">
        <v>9.4982580000000016</v>
      </c>
      <c r="D190" s="62">
        <f t="shared" si="13"/>
        <v>47.491290000000006</v>
      </c>
      <c r="E190" s="62" t="s">
        <v>457</v>
      </c>
    </row>
    <row r="191" spans="1:5" ht="12.75" customHeight="1" thickTop="1" thickBot="1">
      <c r="A191" s="59" t="s">
        <v>329</v>
      </c>
      <c r="B191" s="60">
        <v>500</v>
      </c>
      <c r="C191" s="59">
        <v>10.397772000000003</v>
      </c>
      <c r="D191" s="59">
        <f t="shared" si="13"/>
        <v>51.988860000000017</v>
      </c>
      <c r="E191" s="59" t="s">
        <v>457</v>
      </c>
    </row>
    <row r="192" spans="1:5" ht="12.75" customHeight="1" thickTop="1" thickBot="1">
      <c r="A192" s="62" t="s">
        <v>330</v>
      </c>
      <c r="B192" s="63">
        <v>500</v>
      </c>
      <c r="C192" s="62">
        <v>11.464992000000001</v>
      </c>
      <c r="D192" s="62">
        <f t="shared" si="13"/>
        <v>57.324960000000004</v>
      </c>
      <c r="E192" s="62" t="s">
        <v>457</v>
      </c>
    </row>
    <row r="193" spans="1:5" ht="12.75" customHeight="1" thickTop="1" thickBot="1">
      <c r="A193" s="59" t="s">
        <v>331</v>
      </c>
      <c r="B193" s="60">
        <v>500</v>
      </c>
      <c r="C193" s="59">
        <v>13.446972000000004</v>
      </c>
      <c r="D193" s="59">
        <f t="shared" si="13"/>
        <v>67.234860000000026</v>
      </c>
      <c r="E193" s="59" t="s">
        <v>457</v>
      </c>
    </row>
    <row r="194" spans="1:5" ht="12.75" customHeight="1" thickTop="1" thickBot="1">
      <c r="A194" s="62" t="s">
        <v>332</v>
      </c>
      <c r="B194" s="63">
        <v>250</v>
      </c>
      <c r="C194" s="62">
        <v>16.816338000000002</v>
      </c>
      <c r="D194" s="62">
        <f t="shared" si="13"/>
        <v>42.040845000000004</v>
      </c>
      <c r="E194" s="62" t="s">
        <v>457</v>
      </c>
    </row>
    <row r="195" spans="1:5" ht="12.75" customHeight="1" thickTop="1" thickBot="1">
      <c r="A195" s="59" t="s">
        <v>333</v>
      </c>
      <c r="B195" s="60">
        <v>250</v>
      </c>
      <c r="C195" s="59">
        <v>19.011762000000004</v>
      </c>
      <c r="D195" s="59">
        <f t="shared" si="13"/>
        <v>47.529405000000011</v>
      </c>
      <c r="E195" s="59" t="s">
        <v>457</v>
      </c>
    </row>
    <row r="196" spans="1:5" ht="12.75" customHeight="1" thickTop="1" thickBot="1">
      <c r="A196" s="62" t="s">
        <v>334</v>
      </c>
      <c r="B196" s="63">
        <v>250</v>
      </c>
      <c r="C196" s="62">
        <v>21.938994000000005</v>
      </c>
      <c r="D196" s="62">
        <f t="shared" si="13"/>
        <v>54.847485000000006</v>
      </c>
      <c r="E196" s="62" t="s">
        <v>457</v>
      </c>
    </row>
    <row r="197" spans="1:5" ht="12.75" customHeight="1" thickTop="1" thickBot="1">
      <c r="A197" s="59" t="s">
        <v>335</v>
      </c>
      <c r="B197" s="60">
        <v>250</v>
      </c>
      <c r="C197" s="59">
        <v>30.537738000000012</v>
      </c>
      <c r="D197" s="59">
        <f t="shared" si="13"/>
        <v>76.344345000000033</v>
      </c>
      <c r="E197" s="59" t="s">
        <v>457</v>
      </c>
    </row>
    <row r="198" spans="1:5" ht="12.75" customHeight="1" thickTop="1" thickBot="1">
      <c r="A198" s="62" t="s">
        <v>336</v>
      </c>
      <c r="B198" s="63">
        <v>250</v>
      </c>
      <c r="C198" s="62">
        <v>33.968088000000002</v>
      </c>
      <c r="D198" s="62">
        <f t="shared" si="13"/>
        <v>84.92022</v>
      </c>
      <c r="E198" s="62" t="s">
        <v>457</v>
      </c>
    </row>
    <row r="199" spans="1:5" ht="12.75" customHeight="1" thickTop="1" thickBot="1">
      <c r="A199" s="59" t="s">
        <v>337</v>
      </c>
      <c r="B199" s="60">
        <v>250</v>
      </c>
      <c r="C199" s="59">
        <v>38.755332000000017</v>
      </c>
      <c r="D199" s="59">
        <f t="shared" si="13"/>
        <v>96.888330000000039</v>
      </c>
      <c r="E199" s="59" t="s">
        <v>457</v>
      </c>
    </row>
    <row r="200" spans="1:5" ht="12.75" customHeight="1" thickTop="1" thickBot="1">
      <c r="A200" s="62" t="s">
        <v>338</v>
      </c>
      <c r="B200" s="63">
        <v>250</v>
      </c>
      <c r="C200" s="62">
        <v>44.243892000000002</v>
      </c>
      <c r="D200" s="62">
        <f t="shared" si="13"/>
        <v>110.60973</v>
      </c>
      <c r="E200" s="62" t="s">
        <v>457</v>
      </c>
    </row>
    <row r="201" spans="1:5" ht="12.75" customHeight="1" thickTop="1" thickBot="1">
      <c r="A201" s="59" t="s">
        <v>339</v>
      </c>
      <c r="B201" s="60">
        <v>250</v>
      </c>
      <c r="C201" s="59">
        <v>51.775416000000007</v>
      </c>
      <c r="D201" s="59">
        <f t="shared" si="13"/>
        <v>129.43854000000002</v>
      </c>
      <c r="E201" s="59" t="s">
        <v>457</v>
      </c>
    </row>
    <row r="202" spans="1:5" ht="42.75" customHeight="1" thickTop="1" thickBot="1">
      <c r="A202" s="120" t="s">
        <v>340</v>
      </c>
      <c r="B202" s="120"/>
      <c r="C202" s="120"/>
      <c r="D202" s="120"/>
    </row>
    <row r="203" spans="1:5" ht="12.75" customHeight="1" thickTop="1" thickBot="1">
      <c r="A203" s="59" t="s">
        <v>341</v>
      </c>
      <c r="B203" s="60">
        <v>1000</v>
      </c>
      <c r="C203" s="59">
        <v>4.4213399999999998</v>
      </c>
      <c r="D203" s="59">
        <f>(C203/100)*B203</f>
        <v>44.2134</v>
      </c>
      <c r="E203" s="59" t="s">
        <v>457</v>
      </c>
    </row>
    <row r="204" spans="1:5" ht="12.75" customHeight="1" thickTop="1" thickBot="1">
      <c r="A204" s="62" t="s">
        <v>341</v>
      </c>
      <c r="B204" s="63">
        <v>1000</v>
      </c>
      <c r="C204" s="62">
        <v>4.4213399999999998</v>
      </c>
      <c r="D204" s="62">
        <f>(C204/100)*B204</f>
        <v>44.2134</v>
      </c>
      <c r="E204" s="62" t="s">
        <v>457</v>
      </c>
    </row>
    <row r="205" spans="1:5" ht="12.75" customHeight="1" thickTop="1" thickBot="1">
      <c r="A205" s="59" t="s">
        <v>342</v>
      </c>
      <c r="B205" s="60">
        <v>1000</v>
      </c>
      <c r="C205" s="59">
        <v>6.4643040000000012</v>
      </c>
      <c r="D205" s="59">
        <f>(C205/100)*B205</f>
        <v>64.643040000000013</v>
      </c>
      <c r="E205" s="59" t="s">
        <v>457</v>
      </c>
    </row>
    <row r="206" spans="1:5" ht="43.5" customHeight="1" thickTop="1" thickBot="1">
      <c r="A206" s="118" t="s">
        <v>442</v>
      </c>
      <c r="B206" s="119"/>
      <c r="C206" s="119"/>
      <c r="D206" s="119"/>
      <c r="E206" s="119"/>
    </row>
    <row r="207" spans="1:5" ht="14.25" thickTop="1" thickBot="1">
      <c r="A207" s="59" t="s">
        <v>343</v>
      </c>
      <c r="B207" s="60"/>
      <c r="C207" s="59">
        <v>103.06079999999999</v>
      </c>
      <c r="D207" s="59">
        <f>(C207/100)*B207</f>
        <v>0</v>
      </c>
      <c r="E207" s="59" t="s">
        <v>457</v>
      </c>
    </row>
    <row r="208" spans="1:5" ht="14.25" thickTop="1" thickBot="1">
      <c r="A208" s="62" t="s">
        <v>344</v>
      </c>
      <c r="B208" s="63"/>
      <c r="C208" s="62">
        <v>119.58479999999999</v>
      </c>
      <c r="D208" s="62">
        <f t="shared" ref="D208:D213" si="14">(C208/100)*B208</f>
        <v>0</v>
      </c>
      <c r="E208" s="62" t="s">
        <v>457</v>
      </c>
    </row>
    <row r="209" spans="1:5" ht="14.25" thickTop="1" thickBot="1">
      <c r="A209" s="59" t="s">
        <v>345</v>
      </c>
      <c r="B209" s="60"/>
      <c r="C209" s="59">
        <v>141.61679999999998</v>
      </c>
      <c r="D209" s="59">
        <f t="shared" si="14"/>
        <v>0</v>
      </c>
      <c r="E209" s="59" t="s">
        <v>457</v>
      </c>
    </row>
    <row r="210" spans="1:5" ht="14.25" thickTop="1" thickBot="1">
      <c r="A210" s="62" t="s">
        <v>346</v>
      </c>
      <c r="B210" s="63"/>
      <c r="C210" s="62">
        <v>161.56799999999998</v>
      </c>
      <c r="D210" s="62">
        <f t="shared" si="14"/>
        <v>0</v>
      </c>
      <c r="E210" s="62" t="s">
        <v>457</v>
      </c>
    </row>
    <row r="211" spans="1:5" ht="14.25" thickTop="1" thickBot="1">
      <c r="A211" s="59" t="s">
        <v>347</v>
      </c>
      <c r="B211" s="60"/>
      <c r="C211" s="59">
        <v>177.35759999999996</v>
      </c>
      <c r="D211" s="59">
        <f t="shared" si="14"/>
        <v>0</v>
      </c>
      <c r="E211" s="59" t="s">
        <v>457</v>
      </c>
    </row>
    <row r="212" spans="1:5" ht="14.25" thickTop="1" thickBot="1">
      <c r="A212" s="62" t="s">
        <v>348</v>
      </c>
      <c r="B212" s="63"/>
      <c r="C212" s="62">
        <v>202.08239999999998</v>
      </c>
      <c r="D212" s="62">
        <f t="shared" si="14"/>
        <v>0</v>
      </c>
      <c r="E212" s="62" t="s">
        <v>457</v>
      </c>
    </row>
    <row r="213" spans="1:5" ht="14.25" thickTop="1" thickBot="1">
      <c r="A213" s="59" t="s">
        <v>349</v>
      </c>
      <c r="B213" s="60"/>
      <c r="C213" s="59">
        <v>219.95279999999997</v>
      </c>
      <c r="D213" s="59">
        <f t="shared" si="14"/>
        <v>0</v>
      </c>
      <c r="E213" s="59" t="s">
        <v>457</v>
      </c>
    </row>
    <row r="214" spans="1:5" ht="37.5" customHeight="1" thickTop="1" thickBot="1">
      <c r="A214" s="120" t="s">
        <v>443</v>
      </c>
      <c r="B214" s="121"/>
      <c r="C214" s="121"/>
      <c r="D214" s="121"/>
      <c r="E214" s="121"/>
    </row>
    <row r="215" spans="1:5" ht="14.25" thickTop="1" thickBot="1">
      <c r="A215" s="59" t="s">
        <v>350</v>
      </c>
      <c r="B215" s="59"/>
      <c r="C215" s="59">
        <v>60.4422</v>
      </c>
      <c r="D215" s="59">
        <f>(C215/100)*B215</f>
        <v>0</v>
      </c>
      <c r="E215" s="59" t="s">
        <v>457</v>
      </c>
    </row>
    <row r="216" spans="1:5" ht="14.25" thickTop="1" thickBot="1">
      <c r="A216" s="62" t="s">
        <v>351</v>
      </c>
      <c r="B216" s="62"/>
      <c r="C216" s="62">
        <v>73.369799999999998</v>
      </c>
      <c r="D216" s="62">
        <f t="shared" ref="D216:D224" si="15">(C216/100)*B216</f>
        <v>0</v>
      </c>
      <c r="E216" s="62" t="s">
        <v>457</v>
      </c>
    </row>
    <row r="217" spans="1:5" ht="14.25" thickTop="1" thickBot="1">
      <c r="A217" s="59" t="s">
        <v>352</v>
      </c>
      <c r="B217" s="59"/>
      <c r="C217" s="59">
        <v>87.431399999999996</v>
      </c>
      <c r="D217" s="59">
        <f t="shared" si="15"/>
        <v>0</v>
      </c>
      <c r="E217" s="59" t="s">
        <v>457</v>
      </c>
    </row>
    <row r="218" spans="1:5" ht="14.25" thickTop="1" thickBot="1">
      <c r="A218" s="62" t="s">
        <v>353</v>
      </c>
      <c r="B218" s="62"/>
      <c r="C218" s="62">
        <v>98.43119999999999</v>
      </c>
      <c r="D218" s="62">
        <f t="shared" si="15"/>
        <v>0</v>
      </c>
      <c r="E218" s="62" t="s">
        <v>457</v>
      </c>
    </row>
    <row r="219" spans="1:5" ht="14.25" thickTop="1" thickBot="1">
      <c r="A219" s="59" t="s">
        <v>354</v>
      </c>
      <c r="B219" s="59"/>
      <c r="C219" s="59">
        <v>140.2758</v>
      </c>
      <c r="D219" s="59">
        <f t="shared" si="15"/>
        <v>0</v>
      </c>
      <c r="E219" s="59" t="s">
        <v>457</v>
      </c>
    </row>
    <row r="220" spans="1:5" ht="14.25" thickTop="1" thickBot="1">
      <c r="A220" s="62" t="s">
        <v>355</v>
      </c>
      <c r="B220" s="62"/>
      <c r="C220" s="62">
        <v>152.63640000000001</v>
      </c>
      <c r="D220" s="62">
        <f t="shared" si="15"/>
        <v>0</v>
      </c>
      <c r="E220" s="62" t="s">
        <v>457</v>
      </c>
    </row>
    <row r="221" spans="1:5" ht="14.25" thickTop="1" thickBot="1">
      <c r="A221" s="59" t="s">
        <v>356</v>
      </c>
      <c r="B221" s="59"/>
      <c r="C221" s="59">
        <v>184.16159999999999</v>
      </c>
      <c r="D221" s="59">
        <f t="shared" si="15"/>
        <v>0</v>
      </c>
      <c r="E221" s="59" t="s">
        <v>457</v>
      </c>
    </row>
    <row r="222" spans="1:5" ht="14.25" thickTop="1" thickBot="1">
      <c r="A222" s="62" t="s">
        <v>357</v>
      </c>
      <c r="B222" s="62"/>
      <c r="C222" s="62">
        <v>205.02719999999999</v>
      </c>
      <c r="D222" s="62">
        <f t="shared" si="15"/>
        <v>0</v>
      </c>
      <c r="E222" s="62" t="s">
        <v>457</v>
      </c>
    </row>
    <row r="223" spans="1:5" ht="14.25" thickTop="1" thickBot="1">
      <c r="A223" s="59" t="s">
        <v>358</v>
      </c>
      <c r="B223" s="59"/>
      <c r="C223" s="59">
        <v>236.2122</v>
      </c>
      <c r="D223" s="59">
        <f t="shared" si="15"/>
        <v>0</v>
      </c>
      <c r="E223" s="59" t="s">
        <v>457</v>
      </c>
    </row>
    <row r="224" spans="1:5" ht="14.25" thickTop="1" thickBot="1">
      <c r="A224" s="62" t="s">
        <v>359</v>
      </c>
      <c r="B224" s="62"/>
      <c r="C224" s="62">
        <v>314.34480000000002</v>
      </c>
      <c r="D224" s="62">
        <f t="shared" si="15"/>
        <v>0</v>
      </c>
      <c r="E224" s="62" t="s">
        <v>457</v>
      </c>
    </row>
    <row r="225" spans="1:5" ht="13.5" thickTop="1">
      <c r="A225" s="123" t="s">
        <v>133</v>
      </c>
    </row>
    <row r="234" spans="1:5" ht="13.5" thickBot="1"/>
    <row r="235" spans="1:5" ht="25.5" customHeight="1" thickTop="1" thickBot="1">
      <c r="A235" s="807" t="s">
        <v>3</v>
      </c>
      <c r="B235" s="808"/>
      <c r="C235" s="560" t="s">
        <v>5</v>
      </c>
      <c r="D235" s="561"/>
      <c r="E235" s="561"/>
    </row>
    <row r="236" spans="1:5" ht="36" customHeight="1" thickTop="1" thickBot="1">
      <c r="A236" s="115" t="s">
        <v>150</v>
      </c>
      <c r="B236" s="68" t="s">
        <v>11</v>
      </c>
      <c r="C236" s="115" t="s">
        <v>220</v>
      </c>
      <c r="D236" s="115" t="s">
        <v>121</v>
      </c>
      <c r="E236" s="115" t="s">
        <v>4</v>
      </c>
    </row>
    <row r="237" spans="1:5" ht="24" customHeight="1" thickBot="1">
      <c r="A237" s="805" t="s">
        <v>447</v>
      </c>
      <c r="B237" s="806"/>
      <c r="C237" s="806"/>
      <c r="D237" s="806"/>
      <c r="E237" s="806"/>
    </row>
    <row r="238" spans="1:5" ht="14.25" thickTop="1" thickBot="1">
      <c r="A238" s="59" t="s">
        <v>360</v>
      </c>
      <c r="B238" s="59"/>
      <c r="C238" s="59">
        <v>13.868999999999998</v>
      </c>
      <c r="D238" s="59">
        <f>(C238/100)*B238</f>
        <v>0</v>
      </c>
      <c r="E238" s="59" t="s">
        <v>457</v>
      </c>
    </row>
    <row r="239" spans="1:5" ht="14.25" thickTop="1" thickBot="1">
      <c r="A239" s="62" t="s">
        <v>361</v>
      </c>
      <c r="B239" s="62"/>
      <c r="C239" s="62">
        <v>19.295999999999996</v>
      </c>
      <c r="D239" s="62">
        <f>(C239/100)*B239</f>
        <v>0</v>
      </c>
      <c r="E239" s="62" t="s">
        <v>457</v>
      </c>
    </row>
    <row r="240" spans="1:5" ht="14.25" thickTop="1" thickBot="1">
      <c r="A240" s="59" t="s">
        <v>362</v>
      </c>
      <c r="B240" s="59"/>
      <c r="C240" s="59">
        <v>19.657799999999998</v>
      </c>
      <c r="D240" s="59">
        <f>(C240/100)*B240</f>
        <v>0</v>
      </c>
      <c r="E240" s="59" t="s">
        <v>457</v>
      </c>
    </row>
    <row r="241" spans="1:5" ht="14.25" thickTop="1" thickBot="1">
      <c r="A241" s="62" t="s">
        <v>363</v>
      </c>
      <c r="B241" s="62"/>
      <c r="C241" s="62">
        <v>22.190399999999997</v>
      </c>
      <c r="D241" s="62">
        <f t="shared" ref="D241:D272" si="16">(C241/100)*B241</f>
        <v>0</v>
      </c>
      <c r="E241" s="62" t="s">
        <v>457</v>
      </c>
    </row>
    <row r="242" spans="1:5" ht="14.25" thickTop="1" thickBot="1">
      <c r="A242" s="59" t="s">
        <v>364</v>
      </c>
      <c r="B242" s="59"/>
      <c r="C242" s="59">
        <v>23.999399999999998</v>
      </c>
      <c r="D242" s="59">
        <f t="shared" si="16"/>
        <v>0</v>
      </c>
      <c r="E242" s="59" t="s">
        <v>457</v>
      </c>
    </row>
    <row r="243" spans="1:5" ht="14.25" thickTop="1" thickBot="1">
      <c r="A243" s="62" t="s">
        <v>365</v>
      </c>
      <c r="B243" s="62"/>
      <c r="C243" s="62">
        <v>27.255599999999998</v>
      </c>
      <c r="D243" s="62">
        <f t="shared" si="16"/>
        <v>0</v>
      </c>
      <c r="E243" s="62" t="s">
        <v>457</v>
      </c>
    </row>
    <row r="244" spans="1:5" ht="14.25" thickTop="1" thickBot="1">
      <c r="A244" s="59" t="s">
        <v>366</v>
      </c>
      <c r="B244" s="59"/>
      <c r="C244" s="59">
        <v>30.270599999999995</v>
      </c>
      <c r="D244" s="59">
        <f t="shared" si="16"/>
        <v>0</v>
      </c>
      <c r="E244" s="59" t="s">
        <v>457</v>
      </c>
    </row>
    <row r="245" spans="1:5" ht="14.25" thickTop="1" thickBot="1">
      <c r="A245" s="62" t="s">
        <v>367</v>
      </c>
      <c r="B245" s="62"/>
      <c r="C245" s="62">
        <v>38.3508</v>
      </c>
      <c r="D245" s="62">
        <f t="shared" si="16"/>
        <v>0</v>
      </c>
      <c r="E245" s="62" t="s">
        <v>457</v>
      </c>
    </row>
    <row r="246" spans="1:5" ht="14.25" thickTop="1" thickBot="1">
      <c r="A246" s="59" t="s">
        <v>368</v>
      </c>
      <c r="B246" s="59"/>
      <c r="C246" s="59">
        <v>41.003999999999991</v>
      </c>
      <c r="D246" s="59">
        <f t="shared" si="16"/>
        <v>0</v>
      </c>
      <c r="E246" s="59" t="s">
        <v>457</v>
      </c>
    </row>
    <row r="247" spans="1:5" ht="14.25" thickTop="1" thickBot="1">
      <c r="A247" s="62" t="s">
        <v>369</v>
      </c>
      <c r="B247" s="62"/>
      <c r="C247" s="62">
        <v>38.833199999999998</v>
      </c>
      <c r="D247" s="62">
        <f t="shared" si="16"/>
        <v>0</v>
      </c>
      <c r="E247" s="62" t="s">
        <v>457</v>
      </c>
    </row>
    <row r="248" spans="1:5" ht="14.25" thickTop="1" thickBot="1">
      <c r="A248" s="59" t="s">
        <v>370</v>
      </c>
      <c r="B248" s="59"/>
      <c r="C248" s="59">
        <v>41.24519999999999</v>
      </c>
      <c r="D248" s="59">
        <f t="shared" si="16"/>
        <v>0</v>
      </c>
      <c r="E248" s="59" t="s">
        <v>457</v>
      </c>
    </row>
    <row r="249" spans="1:5" ht="14.25" thickTop="1" thickBot="1">
      <c r="A249" s="62" t="s">
        <v>371</v>
      </c>
      <c r="B249" s="62"/>
      <c r="C249" s="62">
        <v>45.224999999999987</v>
      </c>
      <c r="D249" s="62">
        <f t="shared" si="16"/>
        <v>0</v>
      </c>
      <c r="E249" s="62" t="s">
        <v>457</v>
      </c>
    </row>
    <row r="250" spans="1:5" ht="14.25" thickTop="1" thickBot="1">
      <c r="A250" s="59" t="s">
        <v>372</v>
      </c>
      <c r="B250" s="59"/>
      <c r="C250" s="59">
        <v>47.636999999999993</v>
      </c>
      <c r="D250" s="59">
        <f t="shared" si="16"/>
        <v>0</v>
      </c>
      <c r="E250" s="59" t="s">
        <v>457</v>
      </c>
    </row>
    <row r="251" spans="1:5" ht="14.25" thickTop="1" thickBot="1">
      <c r="A251" s="62" t="s">
        <v>373</v>
      </c>
      <c r="B251" s="62"/>
      <c r="C251" s="62">
        <v>64.641599999999997</v>
      </c>
      <c r="D251" s="62">
        <f t="shared" si="16"/>
        <v>0</v>
      </c>
      <c r="E251" s="62" t="s">
        <v>457</v>
      </c>
    </row>
    <row r="252" spans="1:5" ht="14.25" thickTop="1" thickBot="1">
      <c r="A252" s="59" t="s">
        <v>374</v>
      </c>
      <c r="B252" s="59"/>
      <c r="C252" s="59">
        <v>72.36</v>
      </c>
      <c r="D252" s="59">
        <f t="shared" si="16"/>
        <v>0</v>
      </c>
      <c r="E252" s="59" t="s">
        <v>457</v>
      </c>
    </row>
    <row r="253" spans="1:5" ht="14.25" thickTop="1" thickBot="1">
      <c r="A253" s="62" t="s">
        <v>375</v>
      </c>
      <c r="B253" s="62"/>
      <c r="C253" s="62">
        <v>82.852199999999996</v>
      </c>
      <c r="D253" s="62">
        <f t="shared" si="16"/>
        <v>0</v>
      </c>
      <c r="E253" s="62" t="s">
        <v>457</v>
      </c>
    </row>
    <row r="254" spans="1:5" ht="14.25" thickTop="1" thickBot="1">
      <c r="A254" s="59" t="s">
        <v>376</v>
      </c>
      <c r="B254" s="59"/>
      <c r="C254" s="59">
        <v>93.464999999999989</v>
      </c>
      <c r="D254" s="59">
        <f t="shared" si="16"/>
        <v>0</v>
      </c>
      <c r="E254" s="59" t="s">
        <v>457</v>
      </c>
    </row>
    <row r="255" spans="1:5" ht="14.25" thickTop="1" thickBot="1">
      <c r="A255" s="62" t="s">
        <v>377</v>
      </c>
      <c r="B255" s="62"/>
      <c r="C255" s="62">
        <v>104.31899999999999</v>
      </c>
      <c r="D255" s="62">
        <f t="shared" si="16"/>
        <v>0</v>
      </c>
      <c r="E255" s="62" t="s">
        <v>457</v>
      </c>
    </row>
    <row r="256" spans="1:5" ht="14.25" thickTop="1" thickBot="1">
      <c r="A256" s="59" t="s">
        <v>378</v>
      </c>
      <c r="B256" s="59"/>
      <c r="C256" s="59">
        <v>114.93179999999998</v>
      </c>
      <c r="D256" s="59">
        <f t="shared" si="16"/>
        <v>0</v>
      </c>
      <c r="E256" s="59" t="s">
        <v>457</v>
      </c>
    </row>
    <row r="257" spans="1:5" ht="14.25" thickTop="1" thickBot="1">
      <c r="A257" s="62" t="s">
        <v>379</v>
      </c>
      <c r="B257" s="62"/>
      <c r="C257" s="62">
        <v>120.59999999999998</v>
      </c>
      <c r="D257" s="62">
        <f t="shared" si="16"/>
        <v>0</v>
      </c>
      <c r="E257" s="62" t="s">
        <v>457</v>
      </c>
    </row>
    <row r="258" spans="1:5" ht="14.25" thickTop="1" thickBot="1">
      <c r="A258" s="59" t="s">
        <v>380</v>
      </c>
      <c r="B258" s="59"/>
      <c r="C258" s="59">
        <v>66.450599999999994</v>
      </c>
      <c r="D258" s="59">
        <f t="shared" si="16"/>
        <v>0</v>
      </c>
      <c r="E258" s="59" t="s">
        <v>457</v>
      </c>
    </row>
    <row r="259" spans="1:5" ht="14.25" thickTop="1" thickBot="1">
      <c r="A259" s="62" t="s">
        <v>381</v>
      </c>
      <c r="B259" s="62"/>
      <c r="C259" s="62">
        <v>75.133799999999994</v>
      </c>
      <c r="D259" s="62">
        <f t="shared" si="16"/>
        <v>0</v>
      </c>
      <c r="E259" s="62" t="s">
        <v>457</v>
      </c>
    </row>
    <row r="260" spans="1:5" ht="14.25" thickTop="1" thickBot="1">
      <c r="A260" s="59" t="s">
        <v>382</v>
      </c>
      <c r="B260" s="59"/>
      <c r="C260" s="59">
        <v>83.937599999999989</v>
      </c>
      <c r="D260" s="59">
        <f t="shared" si="16"/>
        <v>0</v>
      </c>
      <c r="E260" s="59" t="s">
        <v>457</v>
      </c>
    </row>
    <row r="261" spans="1:5" ht="14.25" thickTop="1" thickBot="1">
      <c r="A261" s="62" t="s">
        <v>383</v>
      </c>
      <c r="B261" s="62"/>
      <c r="C261" s="62">
        <v>82.369799999999984</v>
      </c>
      <c r="D261" s="62">
        <f t="shared" si="16"/>
        <v>0</v>
      </c>
      <c r="E261" s="62" t="s">
        <v>457</v>
      </c>
    </row>
    <row r="262" spans="1:5" ht="14.25" thickTop="1" thickBot="1">
      <c r="A262" s="59" t="s">
        <v>384</v>
      </c>
      <c r="B262" s="59"/>
      <c r="C262" s="59">
        <v>97.444799999999987</v>
      </c>
      <c r="D262" s="59">
        <f t="shared" si="16"/>
        <v>0</v>
      </c>
      <c r="E262" s="59" t="s">
        <v>457</v>
      </c>
    </row>
    <row r="263" spans="1:5" ht="14.25" thickTop="1" thickBot="1">
      <c r="A263" s="62" t="s">
        <v>385</v>
      </c>
      <c r="B263" s="62"/>
      <c r="C263" s="62">
        <v>112.76099999999998</v>
      </c>
      <c r="D263" s="62">
        <f t="shared" si="16"/>
        <v>0</v>
      </c>
      <c r="E263" s="62" t="s">
        <v>457</v>
      </c>
    </row>
    <row r="264" spans="1:5" ht="14.25" thickTop="1" thickBot="1">
      <c r="A264" s="59" t="s">
        <v>386</v>
      </c>
      <c r="B264" s="59"/>
      <c r="C264" s="59">
        <v>134.34839999999997</v>
      </c>
      <c r="D264" s="59">
        <f t="shared" si="16"/>
        <v>0</v>
      </c>
      <c r="E264" s="59" t="s">
        <v>457</v>
      </c>
    </row>
    <row r="265" spans="1:5" ht="14.25" thickTop="1" thickBot="1">
      <c r="A265" s="62" t="s">
        <v>387</v>
      </c>
      <c r="B265" s="62"/>
      <c r="C265" s="62">
        <v>143.63459999999998</v>
      </c>
      <c r="D265" s="62">
        <f t="shared" si="16"/>
        <v>0</v>
      </c>
      <c r="E265" s="62" t="s">
        <v>457</v>
      </c>
    </row>
    <row r="266" spans="1:5" ht="14.25" thickTop="1" thickBot="1">
      <c r="A266" s="59" t="s">
        <v>388</v>
      </c>
      <c r="B266" s="59"/>
      <c r="C266" s="59">
        <v>148.21739999999997</v>
      </c>
      <c r="D266" s="59">
        <f t="shared" si="16"/>
        <v>0</v>
      </c>
      <c r="E266" s="59" t="s">
        <v>457</v>
      </c>
    </row>
    <row r="267" spans="1:5" ht="14.25" thickTop="1" thickBot="1">
      <c r="A267" s="62" t="s">
        <v>389</v>
      </c>
      <c r="B267" s="62"/>
      <c r="C267" s="62">
        <v>125.06219999999999</v>
      </c>
      <c r="D267" s="62">
        <f t="shared" si="16"/>
        <v>0</v>
      </c>
      <c r="E267" s="62" t="s">
        <v>457</v>
      </c>
    </row>
    <row r="268" spans="1:5" ht="14.25" thickTop="1" thickBot="1">
      <c r="A268" s="59" t="s">
        <v>390</v>
      </c>
      <c r="B268" s="59"/>
      <c r="C268" s="59">
        <v>149.42339999999996</v>
      </c>
      <c r="D268" s="59">
        <f t="shared" si="16"/>
        <v>0</v>
      </c>
      <c r="E268" s="59" t="s">
        <v>457</v>
      </c>
    </row>
    <row r="269" spans="1:5" ht="14.25" thickTop="1" thickBot="1">
      <c r="A269" s="62" t="s">
        <v>391</v>
      </c>
      <c r="B269" s="62"/>
      <c r="C269" s="62">
        <v>163.6542</v>
      </c>
      <c r="D269" s="62">
        <f t="shared" si="16"/>
        <v>0</v>
      </c>
      <c r="E269" s="62" t="s">
        <v>457</v>
      </c>
    </row>
    <row r="270" spans="1:5" ht="14.25" thickTop="1" thickBot="1">
      <c r="A270" s="59" t="s">
        <v>392</v>
      </c>
      <c r="B270" s="59"/>
      <c r="C270" s="59">
        <v>220.21559999999997</v>
      </c>
      <c r="D270" s="59">
        <f t="shared" si="16"/>
        <v>0</v>
      </c>
      <c r="E270" s="59" t="s">
        <v>457</v>
      </c>
    </row>
    <row r="271" spans="1:5" ht="14.25" thickTop="1" thickBot="1">
      <c r="A271" s="62" t="s">
        <v>393</v>
      </c>
      <c r="B271" s="62"/>
      <c r="C271" s="62">
        <v>240.83819999999997</v>
      </c>
      <c r="D271" s="62">
        <f t="shared" si="16"/>
        <v>0</v>
      </c>
      <c r="E271" s="62" t="s">
        <v>457</v>
      </c>
    </row>
    <row r="272" spans="1:5" ht="14.25" thickTop="1" thickBot="1">
      <c r="A272" s="59" t="s">
        <v>394</v>
      </c>
      <c r="B272" s="59"/>
      <c r="C272" s="59">
        <v>279.18899999999996</v>
      </c>
      <c r="D272" s="59">
        <f t="shared" si="16"/>
        <v>0</v>
      </c>
      <c r="E272" s="59" t="s">
        <v>457</v>
      </c>
    </row>
    <row r="273" spans="1:5" ht="39" customHeight="1" thickTop="1" thickBot="1">
      <c r="A273" s="805" t="s">
        <v>448</v>
      </c>
      <c r="B273" s="806"/>
      <c r="C273" s="806"/>
      <c r="D273" s="806"/>
      <c r="E273" s="806"/>
    </row>
    <row r="274" spans="1:5" ht="14.25" thickTop="1" thickBot="1">
      <c r="A274" s="59" t="s">
        <v>395</v>
      </c>
      <c r="B274" s="59"/>
      <c r="C274" s="59">
        <v>89.926200000000009</v>
      </c>
      <c r="D274" s="59">
        <f>(C274/100)*B274</f>
        <v>0</v>
      </c>
      <c r="E274" s="59" t="s">
        <v>457</v>
      </c>
    </row>
    <row r="275" spans="1:5" ht="14.25" thickTop="1" thickBot="1">
      <c r="A275" s="62" t="s">
        <v>396</v>
      </c>
      <c r="B275" s="62"/>
      <c r="C275" s="62">
        <v>103.98780000000001</v>
      </c>
      <c r="D275" s="62">
        <f>(C275/100)*B275</f>
        <v>0</v>
      </c>
      <c r="E275" s="62" t="s">
        <v>457</v>
      </c>
    </row>
    <row r="276" spans="1:5" ht="14.25" thickTop="1" thickBot="1">
      <c r="A276" s="59" t="s">
        <v>397</v>
      </c>
      <c r="B276" s="59"/>
      <c r="C276" s="59">
        <v>160.80119999999999</v>
      </c>
      <c r="D276" s="59">
        <f>(C276/100)*B276</f>
        <v>0</v>
      </c>
      <c r="E276" s="59" t="s">
        <v>457</v>
      </c>
    </row>
    <row r="277" spans="1:5" ht="14.25" thickTop="1" thickBot="1">
      <c r="A277" s="805" t="s">
        <v>449</v>
      </c>
      <c r="B277" s="806"/>
      <c r="C277" s="806"/>
      <c r="D277" s="806"/>
      <c r="E277" s="806"/>
    </row>
    <row r="278" spans="1:5" ht="14.25" thickTop="1" thickBot="1">
      <c r="A278" s="59" t="s">
        <v>398</v>
      </c>
      <c r="B278" s="59"/>
      <c r="C278" s="59">
        <v>670.78800000000001</v>
      </c>
      <c r="D278" s="59">
        <f>(C278/100)*B278</f>
        <v>0</v>
      </c>
      <c r="E278" s="59" t="s">
        <v>457</v>
      </c>
    </row>
    <row r="279" spans="1:5" ht="14.25" thickTop="1" thickBot="1">
      <c r="A279" s="62" t="s">
        <v>399</v>
      </c>
      <c r="B279" s="62"/>
      <c r="C279" s="62">
        <v>1017.3599999999999</v>
      </c>
      <c r="D279" s="62">
        <f>(C279/100)*B279</f>
        <v>0</v>
      </c>
      <c r="E279" s="62" t="s">
        <v>457</v>
      </c>
    </row>
    <row r="280" spans="1:5" ht="14.25" thickTop="1" thickBot="1">
      <c r="A280" s="59" t="s">
        <v>400</v>
      </c>
      <c r="B280" s="59"/>
      <c r="C280" s="59">
        <v>1611.09</v>
      </c>
      <c r="D280" s="59">
        <f>(C280/100)*B280</f>
        <v>0</v>
      </c>
      <c r="E280" s="59" t="s">
        <v>457</v>
      </c>
    </row>
    <row r="281" spans="1:5" ht="14.25" thickTop="1" thickBot="1">
      <c r="A281" s="62" t="s">
        <v>401</v>
      </c>
      <c r="B281" s="62"/>
      <c r="C281" s="62">
        <v>2246.4</v>
      </c>
      <c r="D281" s="62">
        <f>(C281/100)*B281</f>
        <v>0</v>
      </c>
      <c r="E281" s="62" t="s">
        <v>457</v>
      </c>
    </row>
    <row r="282" spans="1:5" ht="14.25" thickTop="1" thickBot="1">
      <c r="A282" s="59" t="s">
        <v>402</v>
      </c>
      <c r="B282" s="59"/>
      <c r="C282" s="59">
        <v>3053.7</v>
      </c>
      <c r="D282" s="59">
        <f>(C282/100)*B282</f>
        <v>0</v>
      </c>
      <c r="E282" s="59" t="s">
        <v>457</v>
      </c>
    </row>
    <row r="283" spans="1:5" ht="14.25" thickTop="1" thickBot="1">
      <c r="A283" s="805" t="s">
        <v>450</v>
      </c>
      <c r="B283" s="806"/>
      <c r="C283" s="806"/>
      <c r="D283" s="806"/>
      <c r="E283" s="806"/>
    </row>
    <row r="284" spans="1:5" ht="14.25" thickTop="1" thickBot="1">
      <c r="A284" s="59" t="s">
        <v>403</v>
      </c>
      <c r="B284" s="59"/>
      <c r="C284" s="59">
        <v>1371.6</v>
      </c>
      <c r="D284" s="59">
        <f>(C284/100)*B284</f>
        <v>0</v>
      </c>
      <c r="E284" s="59" t="s">
        <v>457</v>
      </c>
    </row>
    <row r="285" spans="1:5" ht="14.25" thickTop="1" thickBot="1">
      <c r="A285" s="62" t="s">
        <v>404</v>
      </c>
      <c r="B285" s="62"/>
      <c r="C285" s="62">
        <v>2259.3870000000002</v>
      </c>
      <c r="D285" s="62">
        <f>(C285/100)*B285</f>
        <v>0</v>
      </c>
      <c r="E285" s="62" t="s">
        <v>457</v>
      </c>
    </row>
    <row r="286" spans="1:5" ht="14.25" thickTop="1" thickBot="1">
      <c r="A286" s="59" t="s">
        <v>405</v>
      </c>
      <c r="B286" s="59"/>
      <c r="C286" s="59">
        <v>3302.7930000000001</v>
      </c>
      <c r="D286" s="59">
        <f>(C286/100)*B286</f>
        <v>0</v>
      </c>
      <c r="E286" s="59" t="s">
        <v>457</v>
      </c>
    </row>
    <row r="287" spans="1:5" ht="14.25" thickTop="1" thickBot="1">
      <c r="A287" s="805" t="s">
        <v>451</v>
      </c>
      <c r="B287" s="806"/>
      <c r="C287" s="806"/>
      <c r="D287" s="806"/>
      <c r="E287" s="806"/>
    </row>
    <row r="288" spans="1:5" ht="14.25" thickTop="1" thickBot="1">
      <c r="A288" s="59" t="s">
        <v>406</v>
      </c>
      <c r="B288" s="59"/>
      <c r="C288" s="59">
        <v>3.3929999999999993</v>
      </c>
      <c r="D288" s="59">
        <f t="shared" ref="D288:D293" si="17">(C288/100)*B288</f>
        <v>0</v>
      </c>
      <c r="E288" s="59" t="s">
        <v>457</v>
      </c>
    </row>
    <row r="289" spans="1:5" ht="14.25" thickTop="1" thickBot="1">
      <c r="A289" s="62" t="s">
        <v>407</v>
      </c>
      <c r="B289" s="62"/>
      <c r="C289" s="62">
        <v>7.4879999999999995</v>
      </c>
      <c r="D289" s="62">
        <f t="shared" si="17"/>
        <v>0</v>
      </c>
      <c r="E289" s="62" t="s">
        <v>457</v>
      </c>
    </row>
    <row r="290" spans="1:5" ht="14.25" thickTop="1" thickBot="1">
      <c r="A290" s="59" t="s">
        <v>408</v>
      </c>
      <c r="B290" s="59"/>
      <c r="C290" s="59">
        <v>9.4770000000000003</v>
      </c>
      <c r="D290" s="59">
        <f t="shared" si="17"/>
        <v>0</v>
      </c>
      <c r="E290" s="59" t="s">
        <v>457</v>
      </c>
    </row>
    <row r="291" spans="1:5" ht="14.25" thickTop="1" thickBot="1">
      <c r="A291" s="62" t="s">
        <v>409</v>
      </c>
      <c r="B291" s="62"/>
      <c r="C291" s="62">
        <v>19.539000000000001</v>
      </c>
      <c r="D291" s="62">
        <f t="shared" si="17"/>
        <v>0</v>
      </c>
      <c r="E291" s="62" t="s">
        <v>457</v>
      </c>
    </row>
    <row r="292" spans="1:5" ht="14.25" thickTop="1" thickBot="1">
      <c r="A292" s="59" t="s">
        <v>410</v>
      </c>
      <c r="B292" s="59"/>
      <c r="C292" s="59">
        <v>33.93</v>
      </c>
      <c r="D292" s="59">
        <f t="shared" si="17"/>
        <v>0</v>
      </c>
      <c r="E292" s="59" t="s">
        <v>457</v>
      </c>
    </row>
    <row r="293" spans="1:5" ht="14.25" thickTop="1" thickBot="1">
      <c r="A293" s="62" t="s">
        <v>411</v>
      </c>
      <c r="B293" s="62"/>
      <c r="C293" s="62">
        <v>56.160000000000004</v>
      </c>
      <c r="D293" s="62">
        <f t="shared" si="17"/>
        <v>0</v>
      </c>
      <c r="E293" s="62" t="s">
        <v>457</v>
      </c>
    </row>
    <row r="294" spans="1:5" ht="13.5" thickTop="1">
      <c r="A294" s="123" t="s">
        <v>133</v>
      </c>
    </row>
    <row r="300" spans="1:5" ht="13.5" thickBot="1"/>
    <row r="301" spans="1:5" ht="25.5" customHeight="1" thickTop="1" thickBot="1">
      <c r="A301" s="807" t="s">
        <v>3</v>
      </c>
      <c r="B301" s="808"/>
      <c r="C301" s="560" t="s">
        <v>5</v>
      </c>
      <c r="D301" s="561"/>
      <c r="E301" s="561"/>
    </row>
    <row r="302" spans="1:5" ht="36" customHeight="1" thickTop="1" thickBot="1">
      <c r="A302" s="115" t="s">
        <v>150</v>
      </c>
      <c r="B302" s="68" t="s">
        <v>11</v>
      </c>
      <c r="C302" s="115" t="s">
        <v>220</v>
      </c>
      <c r="D302" s="115" t="s">
        <v>121</v>
      </c>
      <c r="E302" s="115" t="s">
        <v>4</v>
      </c>
    </row>
    <row r="303" spans="1:5" ht="13.5" thickBot="1">
      <c r="A303" s="805" t="s">
        <v>452</v>
      </c>
      <c r="B303" s="806"/>
      <c r="C303" s="806"/>
      <c r="D303" s="806"/>
      <c r="E303" s="806"/>
    </row>
    <row r="304" spans="1:5" ht="14.25" thickTop="1" thickBot="1">
      <c r="A304" s="59" t="s">
        <v>412</v>
      </c>
      <c r="B304" s="59"/>
      <c r="C304" s="59">
        <v>5.9669999999999996</v>
      </c>
      <c r="D304" s="59">
        <f>(C304/100)*B304</f>
        <v>0</v>
      </c>
      <c r="E304" s="59" t="s">
        <v>457</v>
      </c>
    </row>
    <row r="305" spans="1:5" ht="14.25" thickTop="1" thickBot="1">
      <c r="A305" s="62" t="s">
        <v>413</v>
      </c>
      <c r="B305" s="62"/>
      <c r="C305" s="62">
        <v>9.5940000000000012</v>
      </c>
      <c r="D305" s="62">
        <f>(C305/100)*B305</f>
        <v>0</v>
      </c>
      <c r="E305" s="62" t="s">
        <v>457</v>
      </c>
    </row>
    <row r="306" spans="1:5" ht="14.25" thickTop="1" thickBot="1">
      <c r="A306" s="59" t="s">
        <v>414</v>
      </c>
      <c r="B306" s="59"/>
      <c r="C306" s="59">
        <v>19.421999999999997</v>
      </c>
      <c r="D306" s="59">
        <f t="shared" ref="D306:D311" si="18">(C306/100)*B306</f>
        <v>0</v>
      </c>
      <c r="E306" s="59" t="s">
        <v>457</v>
      </c>
    </row>
    <row r="307" spans="1:5" ht="14.25" thickTop="1" thickBot="1">
      <c r="A307" s="62" t="s">
        <v>415</v>
      </c>
      <c r="B307" s="62"/>
      <c r="C307" s="62">
        <v>38.141999999999996</v>
      </c>
      <c r="D307" s="62">
        <f t="shared" si="18"/>
        <v>0</v>
      </c>
      <c r="E307" s="62" t="s">
        <v>457</v>
      </c>
    </row>
    <row r="308" spans="1:5" ht="14.25" thickTop="1" thickBot="1">
      <c r="A308" s="59" t="s">
        <v>416</v>
      </c>
      <c r="B308" s="59"/>
      <c r="C308" s="59">
        <v>59.085000000000001</v>
      </c>
      <c r="D308" s="59">
        <f t="shared" si="18"/>
        <v>0</v>
      </c>
      <c r="E308" s="59" t="s">
        <v>457</v>
      </c>
    </row>
    <row r="309" spans="1:5" ht="14.25" thickTop="1" thickBot="1">
      <c r="A309" s="62" t="s">
        <v>417</v>
      </c>
      <c r="B309" s="62"/>
      <c r="C309" s="62">
        <v>98.74799999999999</v>
      </c>
      <c r="D309" s="62">
        <f t="shared" si="18"/>
        <v>0</v>
      </c>
      <c r="E309" s="62" t="s">
        <v>457</v>
      </c>
    </row>
    <row r="310" spans="1:5" ht="14.25" thickTop="1" thickBot="1">
      <c r="A310" s="59" t="s">
        <v>418</v>
      </c>
      <c r="B310" s="59"/>
      <c r="C310" s="59">
        <v>127.76400000000001</v>
      </c>
      <c r="D310" s="59">
        <f t="shared" si="18"/>
        <v>0</v>
      </c>
      <c r="E310" s="59" t="s">
        <v>457</v>
      </c>
    </row>
    <row r="311" spans="1:5" ht="14.25" thickTop="1" thickBot="1">
      <c r="A311" s="62" t="s">
        <v>419</v>
      </c>
      <c r="B311" s="62"/>
      <c r="C311" s="62">
        <v>248.04000000000002</v>
      </c>
      <c r="D311" s="62">
        <f t="shared" si="18"/>
        <v>0</v>
      </c>
      <c r="E311" s="62" t="s">
        <v>457</v>
      </c>
    </row>
    <row r="312" spans="1:5" ht="14.25" thickTop="1" thickBot="1">
      <c r="A312" s="805" t="s">
        <v>453</v>
      </c>
      <c r="B312" s="806"/>
      <c r="C312" s="806"/>
      <c r="D312" s="806"/>
      <c r="E312" s="806"/>
    </row>
    <row r="313" spans="1:5" ht="14.25" thickTop="1" thickBot="1">
      <c r="A313" s="59" t="s">
        <v>420</v>
      </c>
      <c r="B313" s="59"/>
      <c r="C313" s="59">
        <v>15.326999999999998</v>
      </c>
      <c r="D313" s="59">
        <f>(C313/100)*B313</f>
        <v>0</v>
      </c>
      <c r="E313" s="59" t="s">
        <v>457</v>
      </c>
    </row>
    <row r="314" spans="1:5" ht="14.25" thickTop="1" thickBot="1">
      <c r="A314" s="62" t="s">
        <v>421</v>
      </c>
      <c r="B314" s="62"/>
      <c r="C314" s="62">
        <v>41.886000000000003</v>
      </c>
      <c r="D314" s="62">
        <f>(C314/100)*B314</f>
        <v>0</v>
      </c>
      <c r="E314" s="62" t="s">
        <v>457</v>
      </c>
    </row>
    <row r="315" spans="1:5" ht="14.25" thickTop="1" thickBot="1">
      <c r="A315" s="59" t="s">
        <v>422</v>
      </c>
      <c r="B315" s="59"/>
      <c r="C315" s="59">
        <v>62.243999999999993</v>
      </c>
      <c r="D315" s="59">
        <f>(C315/100)*B315</f>
        <v>0</v>
      </c>
      <c r="E315" s="59" t="s">
        <v>457</v>
      </c>
    </row>
    <row r="316" spans="1:5" ht="14.25" thickTop="1" thickBot="1">
      <c r="A316" s="62" t="s">
        <v>423</v>
      </c>
      <c r="B316" s="62"/>
      <c r="C316" s="62">
        <v>119.69099999999999</v>
      </c>
      <c r="D316" s="62">
        <f>(C316/100)*B316</f>
        <v>0</v>
      </c>
      <c r="E316" s="62" t="s">
        <v>457</v>
      </c>
    </row>
    <row r="317" spans="1:5" ht="14.25" thickTop="1" thickBot="1">
      <c r="A317" s="805" t="s">
        <v>454</v>
      </c>
      <c r="B317" s="806"/>
      <c r="C317" s="806"/>
      <c r="D317" s="806"/>
      <c r="E317" s="806"/>
    </row>
    <row r="318" spans="1:5" ht="14.25" thickTop="1" thickBot="1">
      <c r="A318" s="59" t="s">
        <v>424</v>
      </c>
      <c r="B318" s="59"/>
      <c r="C318" s="59">
        <v>5.4269999999999987</v>
      </c>
      <c r="D318" s="59">
        <f>(C318/100)*B318</f>
        <v>0</v>
      </c>
      <c r="E318" s="59" t="s">
        <v>457</v>
      </c>
    </row>
    <row r="319" spans="1:5" ht="14.25" thickTop="1" thickBot="1">
      <c r="A319" s="62" t="s">
        <v>425</v>
      </c>
      <c r="B319" s="62"/>
      <c r="C319" s="62">
        <v>8.3213999999999988</v>
      </c>
      <c r="D319" s="62">
        <f>(C319/100)*B319</f>
        <v>0</v>
      </c>
      <c r="E319" s="62" t="s">
        <v>457</v>
      </c>
    </row>
    <row r="320" spans="1:5" ht="14.25" thickTop="1" thickBot="1">
      <c r="A320" s="59" t="s">
        <v>426</v>
      </c>
      <c r="B320" s="59"/>
      <c r="C320" s="59">
        <v>12.3012</v>
      </c>
      <c r="D320" s="59">
        <f>(C320/100)*B320</f>
        <v>0</v>
      </c>
      <c r="E320" s="59" t="s">
        <v>457</v>
      </c>
    </row>
    <row r="321" spans="1:5" ht="14.25" thickTop="1" thickBot="1">
      <c r="A321" s="805" t="s">
        <v>455</v>
      </c>
      <c r="B321" s="806"/>
      <c r="C321" s="806"/>
      <c r="D321" s="806"/>
      <c r="E321" s="806"/>
    </row>
    <row r="322" spans="1:5" ht="14.25" thickTop="1" thickBot="1">
      <c r="A322" s="59" t="s">
        <v>427</v>
      </c>
      <c r="B322" s="59"/>
      <c r="C322" s="59">
        <v>3.0420000000000003</v>
      </c>
      <c r="D322" s="59">
        <f>(C322/100)*B322</f>
        <v>0</v>
      </c>
      <c r="E322" s="59" t="s">
        <v>457</v>
      </c>
    </row>
    <row r="323" spans="1:5" ht="14.25" thickTop="1" thickBot="1">
      <c r="A323" s="62" t="s">
        <v>428</v>
      </c>
      <c r="B323" s="62"/>
      <c r="C323" s="62">
        <v>4.4459999999999997</v>
      </c>
      <c r="D323" s="62">
        <f>(C323/100)*B323</f>
        <v>0</v>
      </c>
      <c r="E323" s="62" t="s">
        <v>457</v>
      </c>
    </row>
    <row r="324" spans="1:5" ht="14.25" thickTop="1" thickBot="1">
      <c r="A324" s="59" t="s">
        <v>429</v>
      </c>
      <c r="B324" s="59"/>
      <c r="C324" s="59">
        <v>6.9030000000000005</v>
      </c>
      <c r="D324" s="59">
        <f t="shared" ref="D324:D332" si="19">(C324/100)*B324</f>
        <v>0</v>
      </c>
      <c r="E324" s="59" t="s">
        <v>457</v>
      </c>
    </row>
    <row r="325" spans="1:5" ht="14.25" thickTop="1" thickBot="1">
      <c r="A325" s="62" t="s">
        <v>430</v>
      </c>
      <c r="B325" s="62"/>
      <c r="C325" s="62">
        <v>13.923</v>
      </c>
      <c r="D325" s="62">
        <f t="shared" si="19"/>
        <v>0</v>
      </c>
      <c r="E325" s="62" t="s">
        <v>457</v>
      </c>
    </row>
    <row r="326" spans="1:5" ht="14.25" thickTop="1" thickBot="1">
      <c r="A326" s="59" t="s">
        <v>431</v>
      </c>
      <c r="B326" s="59"/>
      <c r="C326" s="59">
        <v>30.303000000000001</v>
      </c>
      <c r="D326" s="59">
        <f t="shared" si="19"/>
        <v>0</v>
      </c>
      <c r="E326" s="59" t="s">
        <v>457</v>
      </c>
    </row>
    <row r="327" spans="1:5" ht="14.25" thickTop="1" thickBot="1">
      <c r="A327" s="62" t="s">
        <v>432</v>
      </c>
      <c r="B327" s="62"/>
      <c r="C327" s="62">
        <v>43.406999999999996</v>
      </c>
      <c r="D327" s="62">
        <f t="shared" si="19"/>
        <v>0</v>
      </c>
      <c r="E327" s="62" t="s">
        <v>457</v>
      </c>
    </row>
    <row r="328" spans="1:5" ht="14.25" thickTop="1" thickBot="1">
      <c r="A328" s="59" t="s">
        <v>433</v>
      </c>
      <c r="B328" s="59"/>
      <c r="C328" s="59">
        <v>88.452000000000012</v>
      </c>
      <c r="D328" s="59">
        <f t="shared" si="19"/>
        <v>0</v>
      </c>
      <c r="E328" s="59" t="s">
        <v>457</v>
      </c>
    </row>
    <row r="329" spans="1:5" ht="14.25" thickTop="1" thickBot="1">
      <c r="A329" s="62" t="s">
        <v>434</v>
      </c>
      <c r="B329" s="62"/>
      <c r="C329" s="62">
        <v>105.3</v>
      </c>
      <c r="D329" s="62">
        <f t="shared" si="19"/>
        <v>0</v>
      </c>
      <c r="E329" s="62" t="s">
        <v>457</v>
      </c>
    </row>
    <row r="330" spans="1:5" ht="14.25" thickTop="1" thickBot="1">
      <c r="A330" s="59" t="s">
        <v>435</v>
      </c>
      <c r="B330" s="59"/>
      <c r="C330" s="59">
        <v>168.48</v>
      </c>
      <c r="D330" s="59">
        <f t="shared" si="19"/>
        <v>0</v>
      </c>
      <c r="E330" s="59" t="s">
        <v>457</v>
      </c>
    </row>
    <row r="331" spans="1:5" ht="14.25" thickTop="1" thickBot="1">
      <c r="A331" s="62" t="s">
        <v>436</v>
      </c>
      <c r="B331" s="62"/>
      <c r="C331" s="62">
        <v>315.89999999999998</v>
      </c>
      <c r="D331" s="62">
        <f t="shared" si="19"/>
        <v>0</v>
      </c>
      <c r="E331" s="62" t="s">
        <v>457</v>
      </c>
    </row>
    <row r="332" spans="1:5" ht="14.25" thickTop="1" thickBot="1">
      <c r="A332" s="59" t="s">
        <v>437</v>
      </c>
      <c r="B332" s="59"/>
      <c r="C332" s="59">
        <v>789.75</v>
      </c>
      <c r="D332" s="59">
        <f t="shared" si="19"/>
        <v>0</v>
      </c>
      <c r="E332" s="59" t="s">
        <v>457</v>
      </c>
    </row>
    <row r="333" spans="1:5" ht="14.25" thickTop="1" thickBot="1">
      <c r="A333" s="805" t="s">
        <v>456</v>
      </c>
      <c r="B333" s="806"/>
      <c r="C333" s="806"/>
      <c r="D333" s="806"/>
      <c r="E333" s="806"/>
    </row>
    <row r="334" spans="1:5" ht="14.25" thickTop="1" thickBot="1">
      <c r="A334" s="59" t="s">
        <v>438</v>
      </c>
      <c r="B334" s="59"/>
      <c r="C334" s="59">
        <v>11.349000000000002</v>
      </c>
      <c r="D334" s="59">
        <f>(C334/100)*B334</f>
        <v>0</v>
      </c>
      <c r="E334" s="59" t="s">
        <v>457</v>
      </c>
    </row>
    <row r="335" spans="1:5" ht="14.25" thickTop="1" thickBot="1">
      <c r="A335" s="62" t="s">
        <v>439</v>
      </c>
      <c r="B335" s="62"/>
      <c r="C335" s="62">
        <v>25.974</v>
      </c>
      <c r="D335" s="62">
        <f>(C335/100)*B335</f>
        <v>0</v>
      </c>
      <c r="E335" s="62" t="s">
        <v>457</v>
      </c>
    </row>
    <row r="336" spans="1:5" ht="14.25" thickTop="1" thickBot="1">
      <c r="A336" s="59" t="s">
        <v>440</v>
      </c>
      <c r="B336" s="59"/>
      <c r="C336" s="59">
        <v>46.097999999999999</v>
      </c>
      <c r="D336" s="59">
        <f>(C336/100)*B336</f>
        <v>0</v>
      </c>
      <c r="E336" s="59" t="s">
        <v>457</v>
      </c>
    </row>
    <row r="337" spans="1:5" ht="14.25" thickTop="1" thickBot="1">
      <c r="A337" s="62" t="s">
        <v>441</v>
      </c>
      <c r="B337" s="62"/>
      <c r="C337" s="62">
        <v>67.86</v>
      </c>
      <c r="D337" s="62">
        <f>(C337/100)*B337</f>
        <v>0</v>
      </c>
      <c r="E337" s="62" t="s">
        <v>457</v>
      </c>
    </row>
    <row r="338" spans="1:5" ht="13.5" thickTop="1">
      <c r="A338" s="123" t="s">
        <v>133</v>
      </c>
    </row>
  </sheetData>
  <mergeCells count="24">
    <mergeCell ref="A287:E287"/>
    <mergeCell ref="A301:B301"/>
    <mergeCell ref="C175:E175"/>
    <mergeCell ref="A2:E2"/>
    <mergeCell ref="A5:E5"/>
    <mergeCell ref="C54:E54"/>
    <mergeCell ref="C3:E3"/>
    <mergeCell ref="A3:B3"/>
    <mergeCell ref="A333:E333"/>
    <mergeCell ref="A54:B54"/>
    <mergeCell ref="A237:E237"/>
    <mergeCell ref="A273:E273"/>
    <mergeCell ref="A277:E277"/>
    <mergeCell ref="A303:E303"/>
    <mergeCell ref="A312:E312"/>
    <mergeCell ref="C301:E301"/>
    <mergeCell ref="C235:E235"/>
    <mergeCell ref="A114:B114"/>
    <mergeCell ref="A235:B235"/>
    <mergeCell ref="C114:E114"/>
    <mergeCell ref="A175:B175"/>
    <mergeCell ref="A317:E317"/>
    <mergeCell ref="A321:E321"/>
    <mergeCell ref="A283:E283"/>
  </mergeCells>
  <pageMargins left="0.25" right="0.25" top="1.4791666666666667" bottom="0.21875" header="0.3" footer="0.3"/>
  <pageSetup paperSize="9" scale="74" orientation="portrait" r:id="rId1"/>
  <headerFooter>
    <oddHeader>&amp;L&amp;G&amp;R&amp;"Arial Cyr,полужирный курсив" 02160, Украина
 г. Киев, ул. Вискозная, 17
 тел.: 503-77-88
 www.stalex.ua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6:V41"/>
  <sheetViews>
    <sheetView tabSelected="1" view="pageBreakPreview" topLeftCell="A7" zoomScale="110" zoomScaleNormal="110" zoomScaleSheetLayoutView="110" zoomScalePageLayoutView="120" workbookViewId="0">
      <selection activeCell="M14" sqref="M14:N14"/>
    </sheetView>
  </sheetViews>
  <sheetFormatPr defaultRowHeight="12.75" outlineLevelCol="1"/>
  <cols>
    <col min="1" max="1" width="6.28515625" customWidth="1"/>
    <col min="2" max="2" width="14.42578125" customWidth="1"/>
    <col min="3" max="3" width="8.140625" customWidth="1"/>
    <col min="4" max="4" width="7.5703125" customWidth="1"/>
    <col min="5" max="5" width="7" customWidth="1"/>
    <col min="6" max="6" width="7.140625" customWidth="1"/>
    <col min="7" max="8" width="7.42578125" customWidth="1"/>
    <col min="9" max="9" width="9" customWidth="1"/>
    <col min="10" max="10" width="8.28515625" customWidth="1"/>
    <col min="11" max="11" width="2.140625" customWidth="1"/>
    <col min="12" max="12" width="2.5703125" hidden="1" customWidth="1"/>
    <col min="13" max="13" width="10.28515625" customWidth="1"/>
    <col min="14" max="14" width="0.28515625" hidden="1" customWidth="1"/>
    <col min="15" max="15" width="11.85546875" hidden="1" customWidth="1" outlineLevel="1"/>
    <col min="16" max="21" width="9.140625" hidden="1" customWidth="1" outlineLevel="1"/>
    <col min="22" max="22" width="9.140625" collapsed="1"/>
  </cols>
  <sheetData>
    <row r="6" spans="1:19" ht="16.5" customHeight="1">
      <c r="A6" s="13"/>
      <c r="B6" s="386"/>
      <c r="C6" s="2"/>
      <c r="D6" s="1"/>
      <c r="E6" s="2"/>
      <c r="F6" s="2"/>
      <c r="G6" s="2"/>
      <c r="H6" s="2"/>
      <c r="I6" s="2"/>
      <c r="J6" s="2"/>
      <c r="K6" s="7"/>
    </row>
    <row r="7" spans="1:19" ht="26.25" customHeight="1">
      <c r="A7" s="13"/>
      <c r="B7" s="2"/>
      <c r="C7" s="2"/>
      <c r="D7" s="1"/>
      <c r="E7" s="2"/>
      <c r="F7" s="2"/>
      <c r="G7" s="2"/>
      <c r="H7" s="2"/>
      <c r="I7" s="2"/>
      <c r="J7" s="2"/>
      <c r="K7" s="7"/>
    </row>
    <row r="8" spans="1:19" ht="12" customHeight="1" thickBot="1">
      <c r="A8" s="490" t="s">
        <v>626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370"/>
      <c r="N8" s="370"/>
    </row>
    <row r="9" spans="1:19" ht="36" customHeight="1" thickBot="1">
      <c r="A9" s="494" t="s">
        <v>3</v>
      </c>
      <c r="B9" s="495"/>
      <c r="C9" s="495"/>
      <c r="D9" s="495"/>
      <c r="E9" s="495"/>
      <c r="F9" s="495"/>
      <c r="G9" s="495"/>
      <c r="H9" s="495"/>
      <c r="I9" s="496"/>
      <c r="J9" s="491" t="s">
        <v>679</v>
      </c>
      <c r="K9" s="492"/>
      <c r="L9" s="493"/>
      <c r="M9" s="531" t="s">
        <v>680</v>
      </c>
      <c r="N9" s="532"/>
    </row>
    <row r="10" spans="1:19" ht="59.25" customHeight="1" thickBot="1">
      <c r="A10" s="509" t="s">
        <v>28</v>
      </c>
      <c r="B10" s="510"/>
      <c r="C10" s="391" t="s">
        <v>0</v>
      </c>
      <c r="D10" s="391" t="s">
        <v>1</v>
      </c>
      <c r="E10" s="391" t="s">
        <v>6</v>
      </c>
      <c r="F10" s="391" t="s">
        <v>677</v>
      </c>
      <c r="G10" s="391" t="s">
        <v>9</v>
      </c>
      <c r="H10" s="391" t="s">
        <v>678</v>
      </c>
      <c r="I10" s="391" t="s">
        <v>54</v>
      </c>
      <c r="J10" s="509" t="s">
        <v>109</v>
      </c>
      <c r="K10" s="515"/>
      <c r="L10" s="510"/>
      <c r="M10" s="533" t="s">
        <v>109</v>
      </c>
      <c r="N10" s="534"/>
      <c r="P10" s="229" t="s">
        <v>495</v>
      </c>
      <c r="Q10" s="229" t="s">
        <v>614</v>
      </c>
      <c r="R10" s="229" t="s">
        <v>558</v>
      </c>
      <c r="S10" s="229" t="s">
        <v>672</v>
      </c>
    </row>
    <row r="11" spans="1:19" ht="12.75" hidden="1" customHeight="1" thickBot="1">
      <c r="A11" s="501" t="s">
        <v>56</v>
      </c>
      <c r="B11" s="502"/>
      <c r="C11" s="136">
        <v>150</v>
      </c>
      <c r="D11" s="136">
        <v>1000</v>
      </c>
      <c r="E11" s="136">
        <v>4000</v>
      </c>
      <c r="F11" s="16">
        <v>3</v>
      </c>
      <c r="G11" s="73">
        <v>0.45</v>
      </c>
      <c r="H11" s="113">
        <v>4.2000000000000003E-2</v>
      </c>
      <c r="I11" s="113" t="s">
        <v>55</v>
      </c>
      <c r="J11" s="518" t="e">
        <f>#REF!</f>
        <v>#REF!</v>
      </c>
      <c r="K11" s="519"/>
      <c r="L11" s="520"/>
      <c r="M11" s="535">
        <v>0</v>
      </c>
      <c r="N11" s="536"/>
      <c r="P11" s="229"/>
      <c r="Q11" s="229"/>
      <c r="R11" s="229"/>
      <c r="S11" s="229"/>
    </row>
    <row r="12" spans="1:19" ht="14.25" customHeight="1" thickBot="1">
      <c r="A12" s="497" t="s">
        <v>56</v>
      </c>
      <c r="B12" s="498"/>
      <c r="C12" s="136">
        <v>50</v>
      </c>
      <c r="D12" s="136">
        <v>600</v>
      </c>
      <c r="E12" s="136">
        <v>1200</v>
      </c>
      <c r="F12" s="16">
        <v>8.64</v>
      </c>
      <c r="G12" s="73">
        <v>0.432</v>
      </c>
      <c r="H12" s="113">
        <v>4.2000000000000003E-2</v>
      </c>
      <c r="I12" s="16">
        <v>30</v>
      </c>
      <c r="J12" s="505">
        <f t="shared" ref="J12:J29" si="0">SUM(Q12)</f>
        <v>34.516799999999996</v>
      </c>
      <c r="K12" s="506"/>
      <c r="L12" s="516"/>
      <c r="M12" s="505" t="s">
        <v>23</v>
      </c>
      <c r="N12" s="506"/>
      <c r="O12" s="390"/>
      <c r="P12" s="244">
        <v>23.97</v>
      </c>
      <c r="Q12" s="244">
        <f>SUM(P12*1.44)</f>
        <v>34.516799999999996</v>
      </c>
      <c r="R12" s="244">
        <f>SUM(Q12*0.76)</f>
        <v>26.232767999999997</v>
      </c>
      <c r="S12" s="244">
        <f>SUM(P12*1.04)</f>
        <v>24.928799999999999</v>
      </c>
    </row>
    <row r="13" spans="1:19" ht="14.25" customHeight="1" thickBot="1">
      <c r="A13" s="503" t="s">
        <v>56</v>
      </c>
      <c r="B13" s="504"/>
      <c r="C13" s="137">
        <v>100</v>
      </c>
      <c r="D13" s="137">
        <v>600</v>
      </c>
      <c r="E13" s="137">
        <v>1200</v>
      </c>
      <c r="F13" s="39">
        <v>4.32</v>
      </c>
      <c r="G13" s="74">
        <v>0.432</v>
      </c>
      <c r="H13" s="114">
        <v>4.2000000000000003E-2</v>
      </c>
      <c r="I13" s="39">
        <v>30</v>
      </c>
      <c r="J13" s="507">
        <f t="shared" si="0"/>
        <v>69.048000000000002</v>
      </c>
      <c r="K13" s="508"/>
      <c r="L13" s="517"/>
      <c r="M13" s="507" t="s">
        <v>23</v>
      </c>
      <c r="N13" s="508"/>
      <c r="O13" s="390"/>
      <c r="P13" s="244">
        <v>47.95</v>
      </c>
      <c r="Q13" s="244">
        <f t="shared" ref="Q13:Q29" si="1">SUM(P13*1.44)</f>
        <v>69.048000000000002</v>
      </c>
      <c r="R13" s="244">
        <f t="shared" ref="R13:R29" si="2">SUM(Q13*0.76)</f>
        <v>52.476480000000002</v>
      </c>
      <c r="S13" s="244">
        <f t="shared" ref="S13:S17" si="3">SUM(P13*1.04)</f>
        <v>49.868000000000002</v>
      </c>
    </row>
    <row r="14" spans="1:19" ht="14.25" customHeight="1" thickBot="1">
      <c r="A14" s="497" t="s">
        <v>775</v>
      </c>
      <c r="B14" s="498"/>
      <c r="C14" s="136">
        <v>50</v>
      </c>
      <c r="D14" s="136">
        <v>600</v>
      </c>
      <c r="E14" s="136">
        <v>1200</v>
      </c>
      <c r="F14" s="16">
        <v>8.64</v>
      </c>
      <c r="G14" s="73">
        <v>0.432</v>
      </c>
      <c r="H14" s="113">
        <v>4.2000000000000003E-2</v>
      </c>
      <c r="I14" s="16">
        <v>30</v>
      </c>
      <c r="J14" s="505">
        <f>Q14</f>
        <v>34.516799999999996</v>
      </c>
      <c r="K14" s="506"/>
      <c r="L14" s="516"/>
      <c r="M14" s="505">
        <f t="shared" ref="M14:M15" si="4">SUM(S14)</f>
        <v>24.928799999999999</v>
      </c>
      <c r="N14" s="506"/>
      <c r="O14" s="390"/>
      <c r="P14" s="244">
        <v>23.97</v>
      </c>
      <c r="Q14" s="244">
        <f t="shared" si="1"/>
        <v>34.516799999999996</v>
      </c>
      <c r="R14" s="244">
        <f t="shared" si="2"/>
        <v>26.232767999999997</v>
      </c>
      <c r="S14" s="244">
        <f t="shared" si="3"/>
        <v>24.928799999999999</v>
      </c>
    </row>
    <row r="15" spans="1:19" ht="14.25" customHeight="1" thickBot="1">
      <c r="A15" s="503" t="s">
        <v>775</v>
      </c>
      <c r="B15" s="504"/>
      <c r="C15" s="137">
        <v>100</v>
      </c>
      <c r="D15" s="137">
        <v>600</v>
      </c>
      <c r="E15" s="137">
        <v>1200</v>
      </c>
      <c r="F15" s="39">
        <v>4.32</v>
      </c>
      <c r="G15" s="74">
        <v>0.432</v>
      </c>
      <c r="H15" s="114">
        <v>4.2000000000000003E-2</v>
      </c>
      <c r="I15" s="39">
        <v>30</v>
      </c>
      <c r="J15" s="507">
        <f>Q15</f>
        <v>69.048000000000002</v>
      </c>
      <c r="K15" s="508"/>
      <c r="L15" s="517"/>
      <c r="M15" s="507">
        <f t="shared" si="4"/>
        <v>49.868000000000002</v>
      </c>
      <c r="N15" s="508"/>
      <c r="O15" s="390"/>
      <c r="P15" s="244">
        <v>47.95</v>
      </c>
      <c r="Q15" s="244">
        <f>SUM(P15*1.44)</f>
        <v>69.048000000000002</v>
      </c>
      <c r="R15" s="244">
        <f>SUM(Q15*0.76)</f>
        <v>52.476480000000002</v>
      </c>
      <c r="S15" s="244">
        <f t="shared" si="3"/>
        <v>49.868000000000002</v>
      </c>
    </row>
    <row r="16" spans="1:19" ht="14.25" customHeight="1" thickBot="1">
      <c r="A16" s="497" t="s">
        <v>776</v>
      </c>
      <c r="B16" s="498"/>
      <c r="C16" s="136">
        <v>50</v>
      </c>
      <c r="D16" s="136">
        <v>600</v>
      </c>
      <c r="E16" s="136">
        <v>1200</v>
      </c>
      <c r="F16" s="16">
        <v>8.64</v>
      </c>
      <c r="G16" s="73">
        <v>0.432</v>
      </c>
      <c r="H16" s="113">
        <v>4.2000000000000003E-2</v>
      </c>
      <c r="I16" s="16">
        <v>35</v>
      </c>
      <c r="J16" s="505">
        <f>Q16</f>
        <v>37.627199999999995</v>
      </c>
      <c r="K16" s="506"/>
      <c r="L16" s="516"/>
      <c r="M16" s="505">
        <f t="shared" ref="M16:M17" si="5">SUM(S16)</f>
        <v>27.1752</v>
      </c>
      <c r="N16" s="506"/>
      <c r="O16" s="390"/>
      <c r="P16" s="244">
        <v>26.13</v>
      </c>
      <c r="Q16" s="244">
        <f>SUM(P16*1.44)</f>
        <v>37.627199999999995</v>
      </c>
      <c r="R16" s="244">
        <f>SUM(Q16*0.76)</f>
        <v>28.596671999999998</v>
      </c>
      <c r="S16" s="244">
        <f t="shared" si="3"/>
        <v>27.1752</v>
      </c>
    </row>
    <row r="17" spans="1:19" ht="14.25" customHeight="1" thickBot="1">
      <c r="A17" s="503" t="s">
        <v>776</v>
      </c>
      <c r="B17" s="504"/>
      <c r="C17" s="137">
        <v>100</v>
      </c>
      <c r="D17" s="137">
        <v>600</v>
      </c>
      <c r="E17" s="137">
        <v>1200</v>
      </c>
      <c r="F17" s="39">
        <v>4.32</v>
      </c>
      <c r="G17" s="74">
        <v>0.432</v>
      </c>
      <c r="H17" s="114">
        <v>4.2000000000000003E-2</v>
      </c>
      <c r="I17" s="39">
        <v>35</v>
      </c>
      <c r="J17" s="507">
        <f>Q17</f>
        <v>75.25439999999999</v>
      </c>
      <c r="K17" s="508"/>
      <c r="L17" s="517"/>
      <c r="M17" s="507">
        <f t="shared" si="5"/>
        <v>54.3504</v>
      </c>
      <c r="N17" s="508"/>
      <c r="O17" s="390"/>
      <c r="P17" s="244">
        <v>52.26</v>
      </c>
      <c r="Q17" s="244">
        <f>SUM(P17*1.44)</f>
        <v>75.25439999999999</v>
      </c>
      <c r="R17" s="244">
        <f>SUM(Q17*0.76)</f>
        <v>57.193343999999996</v>
      </c>
      <c r="S17" s="244">
        <f t="shared" si="3"/>
        <v>54.3504</v>
      </c>
    </row>
    <row r="18" spans="1:19" ht="14.25" customHeight="1" thickBot="1">
      <c r="A18" s="497" t="s">
        <v>670</v>
      </c>
      <c r="B18" s="498"/>
      <c r="C18" s="136">
        <v>50</v>
      </c>
      <c r="D18" s="136">
        <v>600</v>
      </c>
      <c r="E18" s="136">
        <v>1200</v>
      </c>
      <c r="F18" s="16">
        <v>8.64</v>
      </c>
      <c r="G18" s="73">
        <v>0.432</v>
      </c>
      <c r="H18" s="113">
        <v>4.2000000000000003E-2</v>
      </c>
      <c r="I18" s="16">
        <v>45</v>
      </c>
      <c r="J18" s="505">
        <f t="shared" si="0"/>
        <v>47.304000000000002</v>
      </c>
      <c r="K18" s="506"/>
      <c r="L18" s="516"/>
      <c r="M18" s="505">
        <f t="shared" ref="M13:M29" si="6">SUM(S18)</f>
        <v>34.164000000000001</v>
      </c>
      <c r="N18" s="506"/>
      <c r="O18" s="390"/>
      <c r="P18" s="244">
        <v>32.85</v>
      </c>
      <c r="Q18" s="244">
        <f t="shared" si="1"/>
        <v>47.304000000000002</v>
      </c>
      <c r="R18" s="244">
        <f t="shared" si="2"/>
        <v>35.951039999999999</v>
      </c>
      <c r="S18" s="244">
        <f>SUM(P18*1.04)</f>
        <v>34.164000000000001</v>
      </c>
    </row>
    <row r="19" spans="1:19" ht="14.25" customHeight="1" thickBot="1">
      <c r="A19" s="503" t="s">
        <v>670</v>
      </c>
      <c r="B19" s="504"/>
      <c r="C19" s="137">
        <v>100</v>
      </c>
      <c r="D19" s="137">
        <v>600</v>
      </c>
      <c r="E19" s="137">
        <v>1200</v>
      </c>
      <c r="F19" s="39">
        <v>4.32</v>
      </c>
      <c r="G19" s="74">
        <v>0.432</v>
      </c>
      <c r="H19" s="114">
        <v>4.2000000000000003E-2</v>
      </c>
      <c r="I19" s="39">
        <v>45</v>
      </c>
      <c r="J19" s="507">
        <f t="shared" si="0"/>
        <v>94.608000000000004</v>
      </c>
      <c r="K19" s="508"/>
      <c r="L19" s="381"/>
      <c r="M19" s="507">
        <f t="shared" si="6"/>
        <v>68.328000000000003</v>
      </c>
      <c r="N19" s="508"/>
      <c r="O19" s="390"/>
      <c r="P19" s="244">
        <v>65.7</v>
      </c>
      <c r="Q19" s="244">
        <f t="shared" si="1"/>
        <v>94.608000000000004</v>
      </c>
      <c r="R19" s="244">
        <f t="shared" si="2"/>
        <v>71.902079999999998</v>
      </c>
      <c r="S19" s="244">
        <f t="shared" ref="S19:S21" si="7">SUM(P19*1.04)</f>
        <v>68.328000000000003</v>
      </c>
    </row>
    <row r="20" spans="1:19" ht="14.25" customHeight="1" thickBot="1">
      <c r="A20" s="497" t="s">
        <v>676</v>
      </c>
      <c r="B20" s="498"/>
      <c r="C20" s="136">
        <v>50</v>
      </c>
      <c r="D20" s="136">
        <v>600</v>
      </c>
      <c r="E20" s="136">
        <v>1200</v>
      </c>
      <c r="F20" s="16">
        <v>4.32</v>
      </c>
      <c r="G20" s="73">
        <v>0.432</v>
      </c>
      <c r="H20" s="113">
        <v>4.2000000000000003E-2</v>
      </c>
      <c r="I20" s="16">
        <v>80</v>
      </c>
      <c r="J20" s="505" t="s">
        <v>23</v>
      </c>
      <c r="K20" s="506"/>
      <c r="L20" s="380"/>
      <c r="M20" s="505">
        <f t="shared" ref="M20:M21" si="8">SUM(S20)</f>
        <v>54.662400000000005</v>
      </c>
      <c r="N20" s="506"/>
      <c r="P20" s="244">
        <v>52.56</v>
      </c>
      <c r="Q20" s="244">
        <f t="shared" si="1"/>
        <v>75.686400000000006</v>
      </c>
      <c r="R20" s="244">
        <f t="shared" si="2"/>
        <v>57.521664000000008</v>
      </c>
      <c r="S20" s="244">
        <f t="shared" si="7"/>
        <v>54.662400000000005</v>
      </c>
    </row>
    <row r="21" spans="1:19" ht="14.25" customHeight="1" thickBot="1">
      <c r="A21" s="503" t="s">
        <v>676</v>
      </c>
      <c r="B21" s="504"/>
      <c r="C21" s="137">
        <v>100</v>
      </c>
      <c r="D21" s="137">
        <v>600</v>
      </c>
      <c r="E21" s="137">
        <v>1200</v>
      </c>
      <c r="F21" s="39">
        <v>2.16</v>
      </c>
      <c r="G21" s="74">
        <v>0.432</v>
      </c>
      <c r="H21" s="114">
        <v>4.2000000000000003E-2</v>
      </c>
      <c r="I21" s="39">
        <v>80</v>
      </c>
      <c r="J21" s="507" t="s">
        <v>23</v>
      </c>
      <c r="K21" s="508"/>
      <c r="L21" s="381"/>
      <c r="M21" s="507">
        <f t="shared" si="8"/>
        <v>109.32480000000001</v>
      </c>
      <c r="N21" s="508"/>
      <c r="P21" s="244">
        <v>105.12</v>
      </c>
      <c r="Q21" s="244">
        <f t="shared" si="1"/>
        <v>151.37280000000001</v>
      </c>
      <c r="R21" s="244">
        <f t="shared" si="2"/>
        <v>115.04332800000002</v>
      </c>
      <c r="S21" s="244">
        <f t="shared" si="7"/>
        <v>109.32480000000001</v>
      </c>
    </row>
    <row r="22" spans="1:19" ht="14.25" customHeight="1" thickBot="1">
      <c r="A22" s="497" t="s">
        <v>108</v>
      </c>
      <c r="B22" s="498"/>
      <c r="C22" s="135">
        <v>50</v>
      </c>
      <c r="D22" s="136">
        <v>600</v>
      </c>
      <c r="E22" s="136">
        <v>1200</v>
      </c>
      <c r="F22" s="113">
        <v>2.88</v>
      </c>
      <c r="G22" s="75">
        <v>0.14399999999999999</v>
      </c>
      <c r="H22" s="113">
        <v>0.43</v>
      </c>
      <c r="I22" s="16">
        <v>145</v>
      </c>
      <c r="J22" s="505">
        <f t="shared" si="0"/>
        <v>126.3168</v>
      </c>
      <c r="K22" s="506"/>
      <c r="L22" s="516"/>
      <c r="M22" s="505">
        <f t="shared" si="6"/>
        <v>89.912999999999997</v>
      </c>
      <c r="N22" s="506"/>
      <c r="P22" s="244">
        <v>87.72</v>
      </c>
      <c r="Q22" s="244">
        <f t="shared" si="1"/>
        <v>126.3168</v>
      </c>
      <c r="R22" s="244">
        <f t="shared" si="2"/>
        <v>96.000768000000008</v>
      </c>
      <c r="S22" s="244">
        <f t="shared" ref="S22:S25" si="9">SUM(P22*1.025)</f>
        <v>89.912999999999997</v>
      </c>
    </row>
    <row r="23" spans="1:19" ht="14.25" customHeight="1" thickBot="1">
      <c r="A23" s="503" t="s">
        <v>108</v>
      </c>
      <c r="B23" s="504"/>
      <c r="C23" s="137">
        <v>100</v>
      </c>
      <c r="D23" s="137">
        <v>600</v>
      </c>
      <c r="E23" s="137">
        <v>1200</v>
      </c>
      <c r="F23" s="114">
        <v>1.44</v>
      </c>
      <c r="G23" s="114">
        <v>0.14399999999999999</v>
      </c>
      <c r="H23" s="114">
        <v>0.43</v>
      </c>
      <c r="I23" s="39">
        <v>145</v>
      </c>
      <c r="J23" s="507">
        <f t="shared" si="0"/>
        <v>252.6336</v>
      </c>
      <c r="K23" s="508"/>
      <c r="L23" s="517"/>
      <c r="M23" s="507">
        <f t="shared" si="6"/>
        <v>179.82599999999999</v>
      </c>
      <c r="N23" s="508"/>
      <c r="P23" s="244">
        <v>175.44</v>
      </c>
      <c r="Q23" s="244">
        <f t="shared" si="1"/>
        <v>252.6336</v>
      </c>
      <c r="R23" s="244">
        <f t="shared" si="2"/>
        <v>192.00153600000002</v>
      </c>
      <c r="S23" s="244">
        <f t="shared" si="9"/>
        <v>179.82599999999999</v>
      </c>
    </row>
    <row r="24" spans="1:19" ht="14.25" customHeight="1" thickBot="1">
      <c r="A24" s="497" t="s">
        <v>671</v>
      </c>
      <c r="B24" s="498"/>
      <c r="C24" s="135">
        <v>50</v>
      </c>
      <c r="D24" s="136">
        <v>600</v>
      </c>
      <c r="E24" s="136">
        <v>1200</v>
      </c>
      <c r="F24" s="113">
        <v>2.88</v>
      </c>
      <c r="G24" s="75">
        <v>0.14399999999999999</v>
      </c>
      <c r="H24" s="113">
        <v>0.43</v>
      </c>
      <c r="I24" s="16">
        <v>135</v>
      </c>
      <c r="J24" s="505" t="s">
        <v>23</v>
      </c>
      <c r="K24" s="506"/>
      <c r="L24" s="516"/>
      <c r="M24" s="505">
        <f t="shared" si="6"/>
        <v>80.893000000000001</v>
      </c>
      <c r="N24" s="506"/>
      <c r="P24" s="244">
        <v>78.92</v>
      </c>
      <c r="Q24" s="244">
        <f t="shared" si="1"/>
        <v>113.6448</v>
      </c>
      <c r="R24" s="244">
        <f t="shared" si="2"/>
        <v>86.370047999999997</v>
      </c>
      <c r="S24" s="244">
        <f t="shared" si="9"/>
        <v>80.893000000000001</v>
      </c>
    </row>
    <row r="25" spans="1:19" ht="14.25" customHeight="1" thickBot="1">
      <c r="A25" s="503" t="s">
        <v>671</v>
      </c>
      <c r="B25" s="504"/>
      <c r="C25" s="137">
        <v>100</v>
      </c>
      <c r="D25" s="137">
        <v>600</v>
      </c>
      <c r="E25" s="137">
        <v>1200</v>
      </c>
      <c r="F25" s="114">
        <v>1.44</v>
      </c>
      <c r="G25" s="114">
        <v>0.14399999999999999</v>
      </c>
      <c r="H25" s="114">
        <v>0.43</v>
      </c>
      <c r="I25" s="39">
        <v>135</v>
      </c>
      <c r="J25" s="507" t="s">
        <v>23</v>
      </c>
      <c r="K25" s="508"/>
      <c r="L25" s="517"/>
      <c r="M25" s="507">
        <f t="shared" si="6"/>
        <v>161.786</v>
      </c>
      <c r="N25" s="508"/>
      <c r="P25" s="244">
        <v>157.84</v>
      </c>
      <c r="Q25" s="244">
        <f t="shared" si="1"/>
        <v>227.28960000000001</v>
      </c>
      <c r="R25" s="244">
        <f t="shared" si="2"/>
        <v>172.74009599999999</v>
      </c>
      <c r="S25" s="244">
        <f t="shared" si="9"/>
        <v>161.786</v>
      </c>
    </row>
    <row r="26" spans="1:19" ht="14.25" customHeight="1" thickBot="1">
      <c r="A26" s="497" t="s">
        <v>675</v>
      </c>
      <c r="B26" s="498"/>
      <c r="C26" s="136">
        <v>50</v>
      </c>
      <c r="D26" s="136">
        <v>600</v>
      </c>
      <c r="E26" s="136">
        <v>1200</v>
      </c>
      <c r="F26" s="16">
        <v>8.64</v>
      </c>
      <c r="G26" s="73">
        <v>0.432</v>
      </c>
      <c r="H26" s="113">
        <v>4.2000000000000003E-2</v>
      </c>
      <c r="I26" s="16">
        <v>40</v>
      </c>
      <c r="J26" s="505" t="s">
        <v>23</v>
      </c>
      <c r="K26" s="506"/>
      <c r="L26" s="380"/>
      <c r="M26" s="505">
        <f t="shared" ref="M26:M27" si="10">SUM(S26)</f>
        <v>36.878399999999999</v>
      </c>
      <c r="N26" s="506"/>
      <c r="O26" s="390"/>
      <c r="P26" s="244">
        <v>35.46</v>
      </c>
      <c r="Q26" s="244">
        <f t="shared" si="1"/>
        <v>51.062399999999997</v>
      </c>
      <c r="R26" s="244">
        <f t="shared" si="2"/>
        <v>38.807423999999997</v>
      </c>
      <c r="S26" s="244">
        <f>SUM(P26*1.04)</f>
        <v>36.878399999999999</v>
      </c>
    </row>
    <row r="27" spans="1:19" ht="14.25" customHeight="1" thickBot="1">
      <c r="A27" s="503" t="s">
        <v>675</v>
      </c>
      <c r="B27" s="504"/>
      <c r="C27" s="137">
        <v>100</v>
      </c>
      <c r="D27" s="137">
        <v>600</v>
      </c>
      <c r="E27" s="137">
        <v>1200</v>
      </c>
      <c r="F27" s="39">
        <v>4.32</v>
      </c>
      <c r="G27" s="74">
        <v>0.432</v>
      </c>
      <c r="H27" s="114">
        <v>4.2000000000000003E-2</v>
      </c>
      <c r="I27" s="39">
        <v>40</v>
      </c>
      <c r="J27" s="507" t="s">
        <v>23</v>
      </c>
      <c r="K27" s="508"/>
      <c r="L27" s="381"/>
      <c r="M27" s="507">
        <f t="shared" si="10"/>
        <v>73.767200000000003</v>
      </c>
      <c r="N27" s="508"/>
      <c r="O27" s="390"/>
      <c r="P27" s="244">
        <v>70.930000000000007</v>
      </c>
      <c r="Q27" s="244">
        <f t="shared" si="1"/>
        <v>102.1392</v>
      </c>
      <c r="R27" s="244">
        <f t="shared" si="2"/>
        <v>77.625792000000004</v>
      </c>
      <c r="S27" s="244">
        <f t="shared" ref="S27:S29" si="11">SUM(P27*1.04)</f>
        <v>73.767200000000003</v>
      </c>
    </row>
    <row r="28" spans="1:19" ht="14.25" customHeight="1" thickBot="1">
      <c r="A28" s="497" t="s">
        <v>669</v>
      </c>
      <c r="B28" s="498"/>
      <c r="C28" s="135">
        <v>50</v>
      </c>
      <c r="D28" s="136">
        <v>1000</v>
      </c>
      <c r="E28" s="136">
        <v>4000</v>
      </c>
      <c r="F28" s="16">
        <v>8</v>
      </c>
      <c r="G28" s="73">
        <v>0.4</v>
      </c>
      <c r="H28" s="113">
        <v>4.2000000000000003E-2</v>
      </c>
      <c r="I28" s="16">
        <v>30</v>
      </c>
      <c r="J28" s="505">
        <f t="shared" si="0"/>
        <v>27.187199999999997</v>
      </c>
      <c r="K28" s="506"/>
      <c r="L28" s="516"/>
      <c r="M28" s="505">
        <f t="shared" si="6"/>
        <v>19.635200000000001</v>
      </c>
      <c r="N28" s="506"/>
      <c r="O28" s="390"/>
      <c r="P28" s="244">
        <v>18.88</v>
      </c>
      <c r="Q28" s="244">
        <f t="shared" si="1"/>
        <v>27.187199999999997</v>
      </c>
      <c r="R28" s="244">
        <f t="shared" si="2"/>
        <v>20.662271999999998</v>
      </c>
      <c r="S28" s="244">
        <f t="shared" si="11"/>
        <v>19.635200000000001</v>
      </c>
    </row>
    <row r="29" spans="1:19" ht="14.25" customHeight="1" thickBot="1">
      <c r="A29" s="499" t="s">
        <v>669</v>
      </c>
      <c r="B29" s="500"/>
      <c r="C29" s="137">
        <v>100</v>
      </c>
      <c r="D29" s="137">
        <v>1000</v>
      </c>
      <c r="E29" s="137">
        <v>4000</v>
      </c>
      <c r="F29" s="39">
        <v>4</v>
      </c>
      <c r="G29" s="74">
        <v>0.4</v>
      </c>
      <c r="H29" s="114">
        <v>4.2000000000000003E-2</v>
      </c>
      <c r="I29" s="39">
        <v>30</v>
      </c>
      <c r="J29" s="507">
        <f t="shared" si="0"/>
        <v>54.388800000000003</v>
      </c>
      <c r="K29" s="508"/>
      <c r="L29" s="517"/>
      <c r="M29" s="507">
        <f t="shared" si="6"/>
        <v>39.280800000000006</v>
      </c>
      <c r="N29" s="508"/>
      <c r="O29" s="390"/>
      <c r="P29" s="244">
        <v>37.770000000000003</v>
      </c>
      <c r="Q29" s="244">
        <f t="shared" si="1"/>
        <v>54.388800000000003</v>
      </c>
      <c r="R29" s="244">
        <f t="shared" si="2"/>
        <v>41.335488000000005</v>
      </c>
      <c r="S29" s="244">
        <f t="shared" si="11"/>
        <v>39.280800000000006</v>
      </c>
    </row>
    <row r="30" spans="1:19" ht="15" customHeight="1" thickBot="1">
      <c r="A30" s="514"/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4"/>
      <c r="M30" s="371"/>
      <c r="N30" s="371"/>
    </row>
    <row r="31" spans="1:19" ht="15" customHeight="1" thickBot="1">
      <c r="A31" s="47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374"/>
      <c r="N31" s="374"/>
    </row>
    <row r="32" spans="1:19" ht="15" customHeight="1" thickBot="1">
      <c r="A32" s="472"/>
      <c r="B32" s="472"/>
      <c r="C32" s="472"/>
      <c r="D32" s="472"/>
      <c r="E32" s="472"/>
      <c r="F32" s="472"/>
      <c r="G32" s="472"/>
      <c r="H32" s="472"/>
      <c r="I32" s="472"/>
      <c r="J32" s="472"/>
      <c r="K32" s="472"/>
      <c r="L32" s="472"/>
      <c r="M32" s="374"/>
      <c r="N32" s="374"/>
    </row>
    <row r="33" spans="1:14" ht="15" customHeight="1" thickBot="1">
      <c r="A33" s="527" t="s">
        <v>78</v>
      </c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374"/>
      <c r="N33" s="374"/>
    </row>
    <row r="34" spans="1:14" ht="20.25" customHeight="1" thickBot="1">
      <c r="A34" s="544" t="s">
        <v>3</v>
      </c>
      <c r="B34" s="545"/>
      <c r="C34" s="545"/>
      <c r="D34" s="545"/>
      <c r="E34" s="545"/>
      <c r="F34" s="545"/>
      <c r="G34" s="545"/>
      <c r="H34" s="546"/>
      <c r="I34" s="511" t="s">
        <v>5</v>
      </c>
      <c r="J34" s="512"/>
      <c r="K34" s="512"/>
      <c r="L34" s="513"/>
      <c r="M34" s="372"/>
      <c r="N34" s="372"/>
    </row>
    <row r="35" spans="1:14" ht="28.5" customHeight="1" thickBot="1">
      <c r="A35" s="523" t="s">
        <v>28</v>
      </c>
      <c r="B35" s="525"/>
      <c r="C35" s="112" t="s">
        <v>0</v>
      </c>
      <c r="D35" s="112" t="s">
        <v>1</v>
      </c>
      <c r="E35" s="112" t="s">
        <v>6</v>
      </c>
      <c r="F35" s="112" t="s">
        <v>181</v>
      </c>
      <c r="G35" s="112" t="s">
        <v>9</v>
      </c>
      <c r="H35" s="112" t="s">
        <v>182</v>
      </c>
      <c r="I35" s="112" t="s">
        <v>110</v>
      </c>
      <c r="J35" s="523" t="s">
        <v>4</v>
      </c>
      <c r="K35" s="524"/>
      <c r="L35" s="525"/>
      <c r="M35" s="373"/>
      <c r="N35" s="373"/>
    </row>
    <row r="36" spans="1:14" ht="12.75" customHeight="1" thickBot="1">
      <c r="A36" s="501" t="s">
        <v>58</v>
      </c>
      <c r="B36" s="502"/>
      <c r="C36" s="76">
        <v>50</v>
      </c>
      <c r="D36" s="76">
        <v>1200</v>
      </c>
      <c r="E36" s="76">
        <v>14000</v>
      </c>
      <c r="F36" s="14">
        <v>16.8</v>
      </c>
      <c r="G36" s="16">
        <v>0.84</v>
      </c>
      <c r="H36" s="16">
        <v>0.04</v>
      </c>
      <c r="I36" s="379">
        <v>14.1</v>
      </c>
      <c r="J36" s="526" t="s">
        <v>8</v>
      </c>
      <c r="K36" s="521"/>
      <c r="L36" s="522"/>
      <c r="M36" s="375"/>
      <c r="N36" s="375"/>
    </row>
    <row r="37" spans="1:14" ht="13.5" customHeight="1" thickBot="1">
      <c r="A37" s="539" t="s">
        <v>60</v>
      </c>
      <c r="B37" s="540"/>
      <c r="C37" s="77">
        <v>50</v>
      </c>
      <c r="D37" s="77">
        <v>1200</v>
      </c>
      <c r="E37" s="77">
        <v>14000</v>
      </c>
      <c r="F37" s="15">
        <v>16.8</v>
      </c>
      <c r="G37" s="39">
        <v>0.84</v>
      </c>
      <c r="H37" s="39">
        <v>0.04</v>
      </c>
      <c r="I37" s="379">
        <v>12.35</v>
      </c>
      <c r="J37" s="528" t="s">
        <v>8</v>
      </c>
      <c r="K37" s="529"/>
      <c r="L37" s="530"/>
      <c r="M37" s="376"/>
      <c r="N37" s="376"/>
    </row>
    <row r="38" spans="1:14" ht="14.25" customHeight="1" thickBot="1">
      <c r="A38" s="501" t="s">
        <v>59</v>
      </c>
      <c r="B38" s="502"/>
      <c r="C38" s="76">
        <v>50</v>
      </c>
      <c r="D38" s="76">
        <v>1200</v>
      </c>
      <c r="E38" s="76">
        <v>12500</v>
      </c>
      <c r="F38" s="14">
        <v>15</v>
      </c>
      <c r="G38" s="16">
        <v>0.75</v>
      </c>
      <c r="H38" s="16">
        <v>0.04</v>
      </c>
      <c r="I38" s="379">
        <v>24.15</v>
      </c>
      <c r="J38" s="501" t="s">
        <v>8</v>
      </c>
      <c r="K38" s="521"/>
      <c r="L38" s="522"/>
      <c r="M38" s="375"/>
      <c r="N38" s="375"/>
    </row>
    <row r="39" spans="1:14" ht="22.5" customHeight="1" thickBot="1">
      <c r="A39" s="541"/>
      <c r="B39" s="542"/>
      <c r="C39" s="343"/>
      <c r="D39" s="343"/>
      <c r="E39" s="343"/>
      <c r="F39" s="343"/>
      <c r="G39" s="343"/>
      <c r="H39" s="343"/>
      <c r="I39" s="343"/>
      <c r="J39" s="541"/>
      <c r="K39" s="543"/>
      <c r="L39" s="542"/>
      <c r="M39" s="377"/>
      <c r="N39" s="377"/>
    </row>
    <row r="40" spans="1:14" ht="15.75" customHeight="1">
      <c r="A40" s="537" t="s">
        <v>673</v>
      </c>
      <c r="B40" s="538"/>
      <c r="C40" s="538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378"/>
    </row>
    <row r="41" spans="1:14" ht="12.75" customHeight="1">
      <c r="A41" s="40" t="s">
        <v>471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</row>
  </sheetData>
  <sheetProtection password="CC4F" sheet="1" objects="1" scenarios="1"/>
  <mergeCells count="79">
    <mergeCell ref="J18:L18"/>
    <mergeCell ref="J19:K19"/>
    <mergeCell ref="J17:L17"/>
    <mergeCell ref="M17:N17"/>
    <mergeCell ref="J14:L14"/>
    <mergeCell ref="J15:L15"/>
    <mergeCell ref="M14:N14"/>
    <mergeCell ref="M15:N15"/>
    <mergeCell ref="A40:M40"/>
    <mergeCell ref="A24:B24"/>
    <mergeCell ref="J24:L24"/>
    <mergeCell ref="M24:N24"/>
    <mergeCell ref="A25:B25"/>
    <mergeCell ref="J25:L25"/>
    <mergeCell ref="M25:N25"/>
    <mergeCell ref="A37:B37"/>
    <mergeCell ref="A38:B38"/>
    <mergeCell ref="A39:B39"/>
    <mergeCell ref="J39:L39"/>
    <mergeCell ref="A34:H34"/>
    <mergeCell ref="A35:B35"/>
    <mergeCell ref="A36:B36"/>
    <mergeCell ref="M9:N9"/>
    <mergeCell ref="M10:N10"/>
    <mergeCell ref="M28:N28"/>
    <mergeCell ref="M29:N29"/>
    <mergeCell ref="M11:N11"/>
    <mergeCell ref="M26:N26"/>
    <mergeCell ref="M27:N27"/>
    <mergeCell ref="M20:N20"/>
    <mergeCell ref="M21:N21"/>
    <mergeCell ref="M22:N22"/>
    <mergeCell ref="M23:N23"/>
    <mergeCell ref="M12:N12"/>
    <mergeCell ref="M13:N13"/>
    <mergeCell ref="M18:N18"/>
    <mergeCell ref="M19:N19"/>
    <mergeCell ref="M16:N16"/>
    <mergeCell ref="J38:L38"/>
    <mergeCell ref="J35:L35"/>
    <mergeCell ref="J36:L36"/>
    <mergeCell ref="J22:L22"/>
    <mergeCell ref="J23:L23"/>
    <mergeCell ref="A33:L33"/>
    <mergeCell ref="J37:L37"/>
    <mergeCell ref="A22:B22"/>
    <mergeCell ref="A23:B23"/>
    <mergeCell ref="I34:L34"/>
    <mergeCell ref="A30:L30"/>
    <mergeCell ref="J10:L10"/>
    <mergeCell ref="J28:L28"/>
    <mergeCell ref="J29:L29"/>
    <mergeCell ref="J11:L11"/>
    <mergeCell ref="J20:K20"/>
    <mergeCell ref="J21:K21"/>
    <mergeCell ref="J12:L12"/>
    <mergeCell ref="J13:L13"/>
    <mergeCell ref="A13:B13"/>
    <mergeCell ref="A19:B19"/>
    <mergeCell ref="A21:B21"/>
    <mergeCell ref="A18:B18"/>
    <mergeCell ref="A14:B14"/>
    <mergeCell ref="A15:B15"/>
    <mergeCell ref="A8:L8"/>
    <mergeCell ref="J9:L9"/>
    <mergeCell ref="A9:I9"/>
    <mergeCell ref="A28:B28"/>
    <mergeCell ref="A29:B29"/>
    <mergeCell ref="A11:B11"/>
    <mergeCell ref="A12:B12"/>
    <mergeCell ref="A26:B26"/>
    <mergeCell ref="A27:B27"/>
    <mergeCell ref="J26:K26"/>
    <mergeCell ref="J27:K27"/>
    <mergeCell ref="A10:B10"/>
    <mergeCell ref="A20:B20"/>
    <mergeCell ref="A17:B17"/>
    <mergeCell ref="A16:B16"/>
    <mergeCell ref="J16:L16"/>
  </mergeCells>
  <pageMargins left="0.39370078740157483" right="0.39370078740157483" top="0.39370078740157483" bottom="0.39370078740157483" header="0.51181102362204722" footer="0.51181102362204722"/>
  <pageSetup paperSize="9" orientation="portrait" r:id="rId1"/>
  <headerFooter>
    <oddHeader>&amp;L&amp;G&amp;R&amp;"Arial Cyr,полужирный курсив"&amp;9  02160, Украина
 г. Киев, ул. Вискозная, 17
 тел.: 503-77-88
 www.stalex.ua</oddHeader>
  </headerFooter>
  <colBreaks count="1" manualBreakCount="1">
    <brk id="14" max="44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</sheetPr>
  <dimension ref="A1:AV57"/>
  <sheetViews>
    <sheetView view="pageBreakPreview" zoomScale="115" zoomScaleNormal="110" zoomScaleSheetLayoutView="115" zoomScalePageLayoutView="110" workbookViewId="0"/>
  </sheetViews>
  <sheetFormatPr defaultRowHeight="12.75" outlineLevelCol="1"/>
  <cols>
    <col min="1" max="1" width="6.7109375" customWidth="1"/>
    <col min="2" max="2" width="15.7109375" customWidth="1"/>
    <col min="3" max="3" width="8.85546875" customWidth="1"/>
    <col min="4" max="4" width="5.42578125" customWidth="1"/>
    <col min="5" max="5" width="4.5703125" customWidth="1"/>
    <col min="6" max="6" width="6.85546875" customWidth="1"/>
    <col min="7" max="7" width="7.42578125" customWidth="1"/>
    <col min="8" max="8" width="6.85546875" customWidth="1"/>
    <col min="9" max="9" width="8.7109375" customWidth="1"/>
    <col min="10" max="10" width="9" customWidth="1"/>
    <col min="11" max="11" width="7.140625" customWidth="1"/>
    <col min="12" max="12" width="9.7109375" customWidth="1"/>
    <col min="13" max="20" width="1.140625" hidden="1" customWidth="1" outlineLevel="1"/>
    <col min="21" max="22" width="1.140625" style="153" hidden="1" customWidth="1" outlineLevel="1"/>
    <col min="23" max="30" width="1.140625" hidden="1" customWidth="1" outlineLevel="1"/>
    <col min="31" max="31" width="14.28515625" hidden="1" customWidth="1" outlineLevel="1"/>
    <col min="32" max="33" width="14.85546875" hidden="1" customWidth="1" outlineLevel="1"/>
    <col min="34" max="34" width="16.42578125" hidden="1" customWidth="1" outlineLevel="1"/>
    <col min="35" max="37" width="9.140625" hidden="1" customWidth="1" outlineLevel="1"/>
    <col min="38" max="38" width="10.85546875" hidden="1" customWidth="1" outlineLevel="1"/>
    <col min="39" max="39" width="9.140625" hidden="1" customWidth="1" outlineLevel="1" collapsed="1"/>
    <col min="40" max="46" width="9.140625" hidden="1" customWidth="1" outlineLevel="1"/>
    <col min="47" max="47" width="9.140625" hidden="1" customWidth="1" collapsed="1"/>
    <col min="48" max="48" width="9.140625" hidden="1" customWidth="1"/>
  </cols>
  <sheetData>
    <row r="1" spans="1:48" ht="10.5" customHeight="1">
      <c r="A1" s="13"/>
      <c r="M1" s="622" t="s">
        <v>460</v>
      </c>
      <c r="N1" s="622"/>
      <c r="O1" s="622"/>
      <c r="P1" s="622"/>
      <c r="Q1" s="622"/>
    </row>
    <row r="2" spans="1:48" ht="29.25" customHeight="1">
      <c r="A2" s="568" t="s">
        <v>91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W2" s="159" t="s">
        <v>481</v>
      </c>
      <c r="AE2" s="237" t="s">
        <v>550</v>
      </c>
      <c r="AF2" s="245" t="s">
        <v>551</v>
      </c>
      <c r="AG2" s="248" t="s">
        <v>556</v>
      </c>
      <c r="AH2" s="249"/>
      <c r="AI2" s="253" t="s">
        <v>557</v>
      </c>
      <c r="AJ2" s="241" t="s">
        <v>554</v>
      </c>
      <c r="AK2" s="229" t="s">
        <v>506</v>
      </c>
      <c r="AL2" s="229"/>
    </row>
    <row r="3" spans="1:48" ht="20.25" customHeight="1" thickBot="1">
      <c r="A3" s="597" t="s">
        <v>3</v>
      </c>
      <c r="B3" s="598"/>
      <c r="C3" s="598"/>
      <c r="D3" s="598"/>
      <c r="E3" s="598"/>
      <c r="F3" s="598"/>
      <c r="G3" s="598"/>
      <c r="H3" s="598"/>
      <c r="I3" s="599"/>
      <c r="J3" s="560" t="s">
        <v>5</v>
      </c>
      <c r="K3" s="561"/>
      <c r="L3" s="562"/>
      <c r="M3" s="621" t="s">
        <v>461</v>
      </c>
      <c r="N3" s="629"/>
      <c r="O3" s="629"/>
      <c r="P3" s="620"/>
      <c r="AE3" s="237"/>
      <c r="AF3" s="245"/>
      <c r="AG3" s="245"/>
      <c r="AH3" s="250"/>
      <c r="AI3" s="246"/>
      <c r="AJ3" s="242"/>
      <c r="AK3" s="239"/>
      <c r="AL3" s="229"/>
    </row>
    <row r="4" spans="1:48" ht="29.25" customHeight="1">
      <c r="A4" s="601" t="s">
        <v>28</v>
      </c>
      <c r="B4" s="602"/>
      <c r="C4" s="603"/>
      <c r="D4" s="23" t="s">
        <v>52</v>
      </c>
      <c r="E4" s="23" t="s">
        <v>582</v>
      </c>
      <c r="F4" s="23" t="s">
        <v>583</v>
      </c>
      <c r="G4" s="23" t="s">
        <v>27</v>
      </c>
      <c r="H4" s="23" t="s">
        <v>25</v>
      </c>
      <c r="I4" s="23" t="s">
        <v>22</v>
      </c>
      <c r="J4" s="23" t="s">
        <v>96</v>
      </c>
      <c r="K4" s="80" t="s">
        <v>183</v>
      </c>
      <c r="L4" s="24" t="s">
        <v>4</v>
      </c>
      <c r="M4" s="621" t="s">
        <v>462</v>
      </c>
      <c r="N4" s="620"/>
      <c r="O4" s="619" t="s">
        <v>467</v>
      </c>
      <c r="P4" s="620"/>
      <c r="Q4" s="619" t="s">
        <v>472</v>
      </c>
      <c r="R4" s="620"/>
      <c r="S4" s="619" t="s">
        <v>473</v>
      </c>
      <c r="T4" s="620"/>
      <c r="U4" s="630" t="s">
        <v>474</v>
      </c>
      <c r="V4" s="630"/>
      <c r="W4" s="618" t="s">
        <v>475</v>
      </c>
      <c r="X4" s="618"/>
      <c r="Y4" s="618" t="s">
        <v>476</v>
      </c>
      <c r="Z4" s="618"/>
      <c r="AE4" s="237"/>
      <c r="AF4" s="245"/>
      <c r="AG4" s="245"/>
      <c r="AH4" s="250"/>
      <c r="AI4" s="246"/>
      <c r="AJ4" s="242"/>
      <c r="AK4" s="239"/>
      <c r="AL4" s="229"/>
      <c r="AN4" t="s">
        <v>495</v>
      </c>
      <c r="AP4" t="s">
        <v>632</v>
      </c>
      <c r="AR4" t="s">
        <v>553</v>
      </c>
      <c r="AT4" t="s">
        <v>506</v>
      </c>
    </row>
    <row r="5" spans="1:48" ht="15.75" thickBot="1">
      <c r="A5" s="600" t="s">
        <v>57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145" t="s">
        <v>477</v>
      </c>
      <c r="N5" s="145" t="s">
        <v>478</v>
      </c>
      <c r="O5" s="145" t="s">
        <v>477</v>
      </c>
      <c r="P5" s="145" t="s">
        <v>478</v>
      </c>
      <c r="Q5" s="145" t="s">
        <v>477</v>
      </c>
      <c r="R5" s="145"/>
      <c r="S5" s="145" t="s">
        <v>477</v>
      </c>
      <c r="T5" s="145" t="s">
        <v>478</v>
      </c>
      <c r="U5" s="154" t="s">
        <v>477</v>
      </c>
      <c r="V5" s="154" t="s">
        <v>478</v>
      </c>
      <c r="W5" s="145" t="s">
        <v>477</v>
      </c>
      <c r="X5" s="145" t="s">
        <v>478</v>
      </c>
      <c r="Y5" s="145" t="s">
        <v>477</v>
      </c>
      <c r="Z5" s="145" t="s">
        <v>478</v>
      </c>
      <c r="AE5" s="237"/>
      <c r="AF5" s="245"/>
      <c r="AG5" s="245"/>
      <c r="AH5" s="250"/>
      <c r="AI5" s="246"/>
      <c r="AJ5" s="242"/>
      <c r="AK5" s="239"/>
      <c r="AL5" s="229"/>
      <c r="AU5" t="s">
        <v>757</v>
      </c>
      <c r="AV5" t="s">
        <v>758</v>
      </c>
    </row>
    <row r="6" spans="1:48" ht="14.1" hidden="1" customHeight="1">
      <c r="A6" s="25"/>
      <c r="B6" s="25" t="s">
        <v>61</v>
      </c>
      <c r="C6" s="25" t="s">
        <v>29</v>
      </c>
      <c r="D6" s="25">
        <v>1.5</v>
      </c>
      <c r="E6" s="25">
        <v>50</v>
      </c>
      <c r="F6" s="25">
        <v>75</v>
      </c>
      <c r="G6" s="25">
        <v>110</v>
      </c>
      <c r="H6" s="25" t="s">
        <v>30</v>
      </c>
      <c r="I6" s="25" t="s">
        <v>31</v>
      </c>
      <c r="J6" s="26">
        <f t="shared" ref="J6:J20" si="0">K6*75</f>
        <v>240.63749999999999</v>
      </c>
      <c r="K6" s="26">
        <v>3.2084999999999999</v>
      </c>
      <c r="L6" s="25" t="s">
        <v>8</v>
      </c>
      <c r="M6" s="145"/>
      <c r="N6" s="145"/>
      <c r="O6" s="145"/>
      <c r="P6" s="145"/>
      <c r="Q6" s="145"/>
      <c r="R6" s="145"/>
      <c r="S6" s="145"/>
      <c r="T6" s="145"/>
      <c r="U6" s="154"/>
      <c r="V6" s="154"/>
      <c r="W6" s="145"/>
      <c r="X6" s="145"/>
      <c r="Y6" s="145"/>
      <c r="Z6" s="145"/>
      <c r="AE6" s="237"/>
      <c r="AF6" s="245"/>
      <c r="AG6" s="245"/>
      <c r="AH6" s="250"/>
      <c r="AI6" s="246"/>
      <c r="AJ6" s="242"/>
      <c r="AK6" s="239"/>
      <c r="AL6" s="229"/>
    </row>
    <row r="7" spans="1:48" ht="14.1" hidden="1" customHeight="1">
      <c r="A7" s="17"/>
      <c r="B7" s="17" t="s">
        <v>61</v>
      </c>
      <c r="C7" s="17" t="s">
        <v>32</v>
      </c>
      <c r="D7" s="17">
        <v>1.5</v>
      </c>
      <c r="E7" s="17">
        <v>50</v>
      </c>
      <c r="F7" s="17">
        <v>75</v>
      </c>
      <c r="G7" s="17">
        <v>96</v>
      </c>
      <c r="H7" s="17" t="s">
        <v>30</v>
      </c>
      <c r="I7" s="17" t="s">
        <v>80</v>
      </c>
      <c r="J7" s="18">
        <f t="shared" si="0"/>
        <v>225.11249999999998</v>
      </c>
      <c r="K7" s="18">
        <v>3.0014999999999996</v>
      </c>
      <c r="L7" s="17" t="s">
        <v>8</v>
      </c>
      <c r="M7" s="145"/>
      <c r="N7" s="145"/>
      <c r="O7" s="145"/>
      <c r="P7" s="145"/>
      <c r="Q7" s="145"/>
      <c r="R7" s="145"/>
      <c r="S7" s="145"/>
      <c r="T7" s="145"/>
      <c r="U7" s="154"/>
      <c r="V7" s="154"/>
      <c r="W7" s="145"/>
      <c r="X7" s="145"/>
      <c r="Y7" s="145"/>
      <c r="Z7" s="145"/>
      <c r="AE7" s="237"/>
      <c r="AF7" s="245"/>
      <c r="AG7" s="245"/>
      <c r="AH7" s="250"/>
      <c r="AI7" s="246"/>
      <c r="AJ7" s="242"/>
      <c r="AK7" s="239"/>
      <c r="AL7" s="229"/>
    </row>
    <row r="8" spans="1:48" ht="14.1" hidden="1" customHeight="1">
      <c r="A8" s="17"/>
      <c r="B8" s="17" t="s">
        <v>61</v>
      </c>
      <c r="C8" s="17" t="s">
        <v>33</v>
      </c>
      <c r="D8" s="17">
        <v>1.5</v>
      </c>
      <c r="E8" s="17">
        <v>50</v>
      </c>
      <c r="F8" s="17">
        <v>75</v>
      </c>
      <c r="G8" s="17">
        <v>130</v>
      </c>
      <c r="H8" s="17" t="s">
        <v>30</v>
      </c>
      <c r="I8" s="17" t="s">
        <v>34</v>
      </c>
      <c r="J8" s="18">
        <f t="shared" si="0"/>
        <v>403.65</v>
      </c>
      <c r="K8" s="18">
        <v>5.3819999999999997</v>
      </c>
      <c r="L8" s="17" t="s">
        <v>8</v>
      </c>
      <c r="M8" s="145"/>
      <c r="N8" s="145"/>
      <c r="O8" s="145"/>
      <c r="P8" s="145"/>
      <c r="Q8" s="145"/>
      <c r="R8" s="145"/>
      <c r="S8" s="145"/>
      <c r="T8" s="145"/>
      <c r="U8" s="154"/>
      <c r="V8" s="154"/>
      <c r="W8" s="145"/>
      <c r="X8" s="145"/>
      <c r="Y8" s="145"/>
      <c r="Z8" s="145"/>
      <c r="AE8" s="237"/>
      <c r="AF8" s="245"/>
      <c r="AG8" s="245"/>
      <c r="AH8" s="250"/>
      <c r="AI8" s="246"/>
      <c r="AJ8" s="242"/>
      <c r="AK8" s="239"/>
      <c r="AL8" s="229"/>
    </row>
    <row r="9" spans="1:48" ht="17.25" hidden="1" customHeight="1">
      <c r="A9" s="17"/>
      <c r="B9" s="17" t="s">
        <v>61</v>
      </c>
      <c r="C9" s="17" t="s">
        <v>35</v>
      </c>
      <c r="D9" s="17">
        <v>1.5</v>
      </c>
      <c r="E9" s="17">
        <v>50</v>
      </c>
      <c r="F9" s="17">
        <v>75</v>
      </c>
      <c r="G9" s="17">
        <v>110</v>
      </c>
      <c r="H9" s="17" t="s">
        <v>30</v>
      </c>
      <c r="I9" s="17" t="s">
        <v>36</v>
      </c>
      <c r="J9" s="18">
        <f t="shared" si="0"/>
        <v>481.27499999999998</v>
      </c>
      <c r="K9" s="18">
        <v>6.4169999999999998</v>
      </c>
      <c r="L9" s="17" t="s">
        <v>8</v>
      </c>
      <c r="M9" s="145"/>
      <c r="N9" s="145"/>
      <c r="O9" s="145"/>
      <c r="P9" s="145"/>
      <c r="Q9" s="145"/>
      <c r="R9" s="145"/>
      <c r="S9" s="145"/>
      <c r="T9" s="145"/>
      <c r="U9" s="154"/>
      <c r="V9" s="154"/>
      <c r="W9" s="145"/>
      <c r="X9" s="145"/>
      <c r="Y9" s="145"/>
      <c r="Z9" s="145"/>
      <c r="AE9" s="237"/>
      <c r="AF9" s="245"/>
      <c r="AG9" s="245"/>
      <c r="AH9" s="250"/>
      <c r="AI9" s="246"/>
      <c r="AJ9" s="242"/>
      <c r="AK9" s="239"/>
      <c r="AL9" s="229"/>
    </row>
    <row r="10" spans="1:48" ht="20.25" hidden="1" customHeight="1">
      <c r="A10" s="17"/>
      <c r="B10" s="17" t="s">
        <v>61</v>
      </c>
      <c r="C10" s="17" t="s">
        <v>37</v>
      </c>
      <c r="D10" s="17">
        <v>1.5</v>
      </c>
      <c r="E10" s="17">
        <v>50</v>
      </c>
      <c r="F10" s="17">
        <v>75</v>
      </c>
      <c r="G10" s="17">
        <v>90</v>
      </c>
      <c r="H10" s="17" t="s">
        <v>30</v>
      </c>
      <c r="I10" s="17" t="s">
        <v>31</v>
      </c>
      <c r="J10" s="18">
        <f t="shared" si="0"/>
        <v>201.82499999999999</v>
      </c>
      <c r="K10" s="18">
        <v>2.6909999999999998</v>
      </c>
      <c r="L10" s="17" t="s">
        <v>8</v>
      </c>
      <c r="M10" s="145"/>
      <c r="N10" s="145"/>
      <c r="O10" s="145"/>
      <c r="P10" s="145"/>
      <c r="Q10" s="145"/>
      <c r="R10" s="145"/>
      <c r="S10" s="145"/>
      <c r="T10" s="145"/>
      <c r="U10" s="154"/>
      <c r="V10" s="154"/>
      <c r="W10" s="145"/>
      <c r="X10" s="145"/>
      <c r="Y10" s="145"/>
      <c r="Z10" s="145"/>
      <c r="AE10" s="237"/>
      <c r="AF10" s="245"/>
      <c r="AG10" s="245"/>
      <c r="AH10" s="250"/>
      <c r="AI10" s="246"/>
      <c r="AJ10" s="242"/>
      <c r="AK10" s="239"/>
      <c r="AL10" s="229"/>
    </row>
    <row r="11" spans="1:48" ht="20.25" customHeight="1" thickBot="1">
      <c r="A11" s="557" t="s">
        <v>628</v>
      </c>
      <c r="B11" s="558"/>
      <c r="C11" s="559"/>
      <c r="D11" s="468">
        <v>1.5</v>
      </c>
      <c r="E11" s="468">
        <v>50</v>
      </c>
      <c r="F11" s="468">
        <v>75</v>
      </c>
      <c r="G11" s="468">
        <v>96</v>
      </c>
      <c r="H11" s="463" t="s">
        <v>30</v>
      </c>
      <c r="I11" s="41" t="s">
        <v>80</v>
      </c>
      <c r="J11" s="45">
        <f t="shared" si="0"/>
        <v>415.79999999999995</v>
      </c>
      <c r="K11" s="461">
        <f>SUM(AP11)</f>
        <v>5.5439999999999996</v>
      </c>
      <c r="L11" s="41" t="s">
        <v>8</v>
      </c>
      <c r="M11" s="631"/>
      <c r="N11" s="624"/>
      <c r="O11" s="623"/>
      <c r="P11" s="624"/>
      <c r="Q11" s="147"/>
      <c r="R11" s="148"/>
      <c r="S11" s="145">
        <v>558</v>
      </c>
      <c r="T11" s="145">
        <f>S11/75</f>
        <v>7.44</v>
      </c>
      <c r="U11" s="156">
        <f t="shared" ref="U11:U14" si="1">V11*75</f>
        <v>322.5</v>
      </c>
      <c r="V11" s="155">
        <v>4.3</v>
      </c>
      <c r="W11" s="633" t="s">
        <v>479</v>
      </c>
      <c r="X11" s="634"/>
      <c r="Y11" s="634"/>
      <c r="Z11" s="635"/>
      <c r="AA11">
        <f t="shared" ref="AA11:AA14" si="2">V11*1.44</f>
        <v>6.1919999999999993</v>
      </c>
      <c r="AB11">
        <f>AA11*0.76</f>
        <v>4.7059199999999999</v>
      </c>
      <c r="AC11" s="158">
        <f t="shared" ref="AC11:AC14" si="3">1-V11/AB11</f>
        <v>8.6257309941520477E-2</v>
      </c>
      <c r="AE11" s="237">
        <v>3.96</v>
      </c>
      <c r="AF11" s="245">
        <v>3.85</v>
      </c>
      <c r="AG11" s="252">
        <v>4.51</v>
      </c>
      <c r="AH11" s="251">
        <f>SUM(K11*0.76)</f>
        <v>4.2134399999999994</v>
      </c>
      <c r="AI11" s="247">
        <f>SUM(AJ11*0.76)</f>
        <v>4.5144000000000002</v>
      </c>
      <c r="AJ11" s="243">
        <v>5.94</v>
      </c>
      <c r="AK11" s="240">
        <f>SUM(AG11*0.9)</f>
        <v>4.0590000000000002</v>
      </c>
      <c r="AL11" s="244">
        <f>SUM(AK11-AE11)</f>
        <v>9.9000000000000199E-2</v>
      </c>
      <c r="AM11" s="165"/>
      <c r="AN11">
        <v>3.85</v>
      </c>
      <c r="AP11" s="165">
        <f>SUM(AN11*1.44)</f>
        <v>5.5439999999999996</v>
      </c>
      <c r="AR11" s="165">
        <f>SUM(AP11*0.76)</f>
        <v>4.2134399999999994</v>
      </c>
      <c r="AT11" s="165">
        <f>SUM(AR11*0.9)</f>
        <v>3.7920959999999995</v>
      </c>
      <c r="AU11" s="466">
        <v>3.75</v>
      </c>
      <c r="AV11" s="466">
        <v>5.48</v>
      </c>
    </row>
    <row r="12" spans="1:48" ht="20.25" customHeight="1" thickBot="1">
      <c r="A12" s="554" t="s">
        <v>627</v>
      </c>
      <c r="B12" s="555"/>
      <c r="C12" s="556"/>
      <c r="D12" s="469">
        <v>1.5</v>
      </c>
      <c r="E12" s="469">
        <v>50</v>
      </c>
      <c r="F12" s="469">
        <v>75</v>
      </c>
      <c r="G12" s="469">
        <v>96</v>
      </c>
      <c r="H12" s="464" t="s">
        <v>30</v>
      </c>
      <c r="I12" s="81" t="s">
        <v>80</v>
      </c>
      <c r="J12" s="46">
        <f t="shared" si="0"/>
        <v>415.79999999999995</v>
      </c>
      <c r="K12" s="460">
        <f t="shared" ref="K12:K20" si="4">SUM(AP12)</f>
        <v>5.5439999999999996</v>
      </c>
      <c r="L12" s="81" t="s">
        <v>8</v>
      </c>
      <c r="M12" s="632"/>
      <c r="N12" s="626"/>
      <c r="O12" s="625"/>
      <c r="P12" s="626"/>
      <c r="Q12" s="149"/>
      <c r="R12" s="150"/>
      <c r="S12" s="145">
        <v>558</v>
      </c>
      <c r="T12" s="145">
        <f>S12/75</f>
        <v>7.44</v>
      </c>
      <c r="U12" s="156">
        <f t="shared" si="1"/>
        <v>322.5</v>
      </c>
      <c r="V12" s="155">
        <v>4.3</v>
      </c>
      <c r="W12" s="636"/>
      <c r="X12" s="637"/>
      <c r="Y12" s="637"/>
      <c r="Z12" s="638"/>
      <c r="AA12">
        <f t="shared" si="2"/>
        <v>6.1919999999999993</v>
      </c>
      <c r="AB12">
        <f t="shared" ref="AB12:AB51" si="5">AA12*0.76</f>
        <v>4.7059199999999999</v>
      </c>
      <c r="AC12" s="158">
        <f t="shared" si="3"/>
        <v>8.6257309941520477E-2</v>
      </c>
      <c r="AE12" s="237">
        <v>4.0599999999999996</v>
      </c>
      <c r="AF12" s="245">
        <v>3.85</v>
      </c>
      <c r="AG12" s="252">
        <v>4.51</v>
      </c>
      <c r="AH12" s="251">
        <f t="shared" ref="AH12:AH41" si="6">SUM(K12*0.76)</f>
        <v>4.2134399999999994</v>
      </c>
      <c r="AI12" s="247">
        <f t="shared" ref="AI12:AI57" si="7">SUM(AJ12*0.76)</f>
        <v>4.5144000000000002</v>
      </c>
      <c r="AJ12" s="243">
        <v>5.94</v>
      </c>
      <c r="AK12" s="240">
        <f t="shared" ref="AK12:AK51" si="8">SUM(AG12*0.9)</f>
        <v>4.0590000000000002</v>
      </c>
      <c r="AL12" s="244">
        <f t="shared" ref="AL12:AL51" si="9">SUM(AK12-AE12)</f>
        <v>-9.9999999999944578E-4</v>
      </c>
      <c r="AM12" s="165"/>
      <c r="AN12">
        <v>3.85</v>
      </c>
      <c r="AP12" s="165">
        <f t="shared" ref="AP12:AP22" si="10">SUM(AN12*1.44)</f>
        <v>5.5439999999999996</v>
      </c>
      <c r="AR12" s="165">
        <f t="shared" ref="AR12:AR22" si="11">SUM(AP12*0.76)</f>
        <v>4.2134399999999994</v>
      </c>
      <c r="AT12" s="165">
        <f t="shared" ref="AT12:AT22" si="12">SUM(AR12*0.9)</f>
        <v>3.7920959999999995</v>
      </c>
      <c r="AU12" s="466">
        <v>3.75</v>
      </c>
      <c r="AV12" s="466">
        <v>5.48</v>
      </c>
    </row>
    <row r="13" spans="1:48" ht="29.25" customHeight="1" thickBot="1">
      <c r="A13" s="557" t="s">
        <v>629</v>
      </c>
      <c r="B13" s="558"/>
      <c r="C13" s="559"/>
      <c r="D13" s="468">
        <v>1.5</v>
      </c>
      <c r="E13" s="468">
        <v>50</v>
      </c>
      <c r="F13" s="468">
        <v>75</v>
      </c>
      <c r="G13" s="468">
        <v>100</v>
      </c>
      <c r="H13" s="463" t="s">
        <v>30</v>
      </c>
      <c r="I13" s="41" t="s">
        <v>31</v>
      </c>
      <c r="J13" s="45">
        <f t="shared" si="0"/>
        <v>525</v>
      </c>
      <c r="K13" s="461">
        <v>7</v>
      </c>
      <c r="L13" s="41" t="s">
        <v>8</v>
      </c>
      <c r="M13" s="145">
        <v>690</v>
      </c>
      <c r="N13" s="145">
        <f>M13/75</f>
        <v>9.1999999999999993</v>
      </c>
      <c r="O13" s="145">
        <f>P13*75</f>
        <v>600.29999999999995</v>
      </c>
      <c r="P13" s="145">
        <v>8.0039999999999996</v>
      </c>
      <c r="Q13" s="149"/>
      <c r="R13" s="150"/>
      <c r="S13" s="145">
        <v>576.6</v>
      </c>
      <c r="T13" s="145">
        <f>S13/75</f>
        <v>7.6880000000000006</v>
      </c>
      <c r="U13" s="156">
        <f t="shared" si="1"/>
        <v>397.5</v>
      </c>
      <c r="V13" s="155">
        <v>5.3</v>
      </c>
      <c r="W13" s="145">
        <v>575</v>
      </c>
      <c r="X13" s="145">
        <f>W13/75</f>
        <v>7.666666666666667</v>
      </c>
      <c r="Y13" s="145">
        <v>646</v>
      </c>
      <c r="Z13" s="145">
        <f>Y13/75</f>
        <v>8.6133333333333333</v>
      </c>
      <c r="AA13">
        <f t="shared" si="2"/>
        <v>7.6319999999999997</v>
      </c>
      <c r="AB13">
        <f>AA13*0.76</f>
        <v>5.8003200000000001</v>
      </c>
      <c r="AC13" s="158">
        <f t="shared" si="3"/>
        <v>8.6257309941520477E-2</v>
      </c>
      <c r="AE13" s="237">
        <v>4.93</v>
      </c>
      <c r="AF13" s="245">
        <v>4.95</v>
      </c>
      <c r="AG13" s="252">
        <v>6.53</v>
      </c>
      <c r="AH13" s="251">
        <f t="shared" si="6"/>
        <v>5.32</v>
      </c>
      <c r="AI13" s="247">
        <f t="shared" si="7"/>
        <v>6.5283999999999995</v>
      </c>
      <c r="AJ13" s="243">
        <v>8.59</v>
      </c>
      <c r="AK13" s="240">
        <f t="shared" si="8"/>
        <v>5.8770000000000007</v>
      </c>
      <c r="AL13" s="244">
        <f t="shared" si="9"/>
        <v>0.94700000000000095</v>
      </c>
      <c r="AM13" s="165"/>
      <c r="AN13">
        <v>5.2</v>
      </c>
      <c r="AP13" s="165">
        <f t="shared" si="10"/>
        <v>7.4879999999999995</v>
      </c>
      <c r="AR13" s="165">
        <f t="shared" si="11"/>
        <v>5.6908799999999999</v>
      </c>
      <c r="AT13" s="165">
        <f t="shared" si="12"/>
        <v>5.1217920000000001</v>
      </c>
      <c r="AU13">
        <v>4.8</v>
      </c>
      <c r="AV13">
        <v>7</v>
      </c>
    </row>
    <row r="14" spans="1:48" ht="28.5" customHeight="1" thickBot="1">
      <c r="A14" s="554" t="s">
        <v>754</v>
      </c>
      <c r="B14" s="555"/>
      <c r="C14" s="556"/>
      <c r="D14" s="469">
        <v>1.5</v>
      </c>
      <c r="E14" s="469">
        <v>50</v>
      </c>
      <c r="F14" s="469">
        <v>75</v>
      </c>
      <c r="G14" s="469">
        <v>100</v>
      </c>
      <c r="H14" s="464" t="s">
        <v>30</v>
      </c>
      <c r="I14" s="81" t="s">
        <v>31</v>
      </c>
      <c r="J14" s="46">
        <f t="shared" si="0"/>
        <v>504</v>
      </c>
      <c r="K14" s="460">
        <v>6.72</v>
      </c>
      <c r="L14" s="81" t="s">
        <v>8</v>
      </c>
      <c r="M14" s="146">
        <v>690</v>
      </c>
      <c r="N14" s="146">
        <f>M14/75</f>
        <v>9.1999999999999993</v>
      </c>
      <c r="O14" s="145">
        <f>P14*75</f>
        <v>600.29999999999995</v>
      </c>
      <c r="P14" s="145">
        <v>8.0039999999999996</v>
      </c>
      <c r="Q14" s="149"/>
      <c r="R14" s="150"/>
      <c r="S14" s="145">
        <v>576.6</v>
      </c>
      <c r="T14" s="145">
        <f>S14/75</f>
        <v>7.6880000000000006</v>
      </c>
      <c r="U14" s="156">
        <f t="shared" si="1"/>
        <v>397.5</v>
      </c>
      <c r="V14" s="155">
        <v>5.3</v>
      </c>
      <c r="W14" s="146">
        <v>575</v>
      </c>
      <c r="X14" s="146">
        <f>W14/75</f>
        <v>7.666666666666667</v>
      </c>
      <c r="Y14" s="146">
        <v>646</v>
      </c>
      <c r="Z14" s="146">
        <f>Y14/75</f>
        <v>8.6133333333333333</v>
      </c>
      <c r="AA14">
        <f t="shared" si="2"/>
        <v>7.6319999999999997</v>
      </c>
      <c r="AB14">
        <f t="shared" si="5"/>
        <v>5.8003200000000001</v>
      </c>
      <c r="AC14" s="158">
        <f t="shared" si="3"/>
        <v>8.6257309941520477E-2</v>
      </c>
      <c r="AE14" s="237">
        <v>5.88</v>
      </c>
      <c r="AF14" s="245">
        <v>4.95</v>
      </c>
      <c r="AG14" s="252">
        <v>6.53</v>
      </c>
      <c r="AH14" s="251">
        <f t="shared" si="6"/>
        <v>5.1071999999999997</v>
      </c>
      <c r="AI14" s="247">
        <f t="shared" si="7"/>
        <v>6.5283999999999995</v>
      </c>
      <c r="AJ14" s="243">
        <v>8.59</v>
      </c>
      <c r="AK14" s="240">
        <f t="shared" si="8"/>
        <v>5.8770000000000007</v>
      </c>
      <c r="AL14" s="244">
        <f t="shared" si="9"/>
        <v>-2.9999999999992255E-3</v>
      </c>
      <c r="AM14" s="165"/>
      <c r="AN14">
        <v>5.2</v>
      </c>
      <c r="AP14" s="165">
        <f t="shared" si="10"/>
        <v>7.4879999999999995</v>
      </c>
      <c r="AR14" s="165">
        <f t="shared" si="11"/>
        <v>5.6908799999999999</v>
      </c>
      <c r="AT14" s="165">
        <f t="shared" si="12"/>
        <v>5.1217920000000001</v>
      </c>
      <c r="AU14" s="466">
        <v>4.59</v>
      </c>
      <c r="AV14" s="466">
        <v>6.72</v>
      </c>
    </row>
    <row r="15" spans="1:48" ht="20.100000000000001" hidden="1" customHeight="1" thickBot="1">
      <c r="A15" s="463">
        <v>1111</v>
      </c>
      <c r="B15" s="463" t="s">
        <v>51</v>
      </c>
      <c r="C15" s="463" t="s">
        <v>99</v>
      </c>
      <c r="D15" s="468">
        <v>1.5</v>
      </c>
      <c r="E15" s="468">
        <v>50</v>
      </c>
      <c r="F15" s="468">
        <v>75</v>
      </c>
      <c r="G15" s="468">
        <v>100</v>
      </c>
      <c r="H15" s="463" t="s">
        <v>30</v>
      </c>
      <c r="I15" s="41" t="s">
        <v>80</v>
      </c>
      <c r="J15" s="45">
        <f t="shared" si="0"/>
        <v>0</v>
      </c>
      <c r="K15" s="461">
        <f t="shared" si="4"/>
        <v>0</v>
      </c>
      <c r="L15" s="41" t="s">
        <v>8</v>
      </c>
      <c r="M15" s="145"/>
      <c r="N15" s="145"/>
      <c r="O15" s="145"/>
      <c r="P15" s="145"/>
      <c r="Q15" s="149"/>
      <c r="R15" s="150"/>
      <c r="S15" s="145"/>
      <c r="T15" s="145"/>
      <c r="U15" s="154"/>
      <c r="V15" s="154"/>
      <c r="W15" s="145"/>
      <c r="X15" s="145"/>
      <c r="Y15" s="145"/>
      <c r="Z15" s="145"/>
      <c r="AA15">
        <f t="shared" ref="AA15:AA32" si="13">V15*1.44</f>
        <v>0</v>
      </c>
      <c r="AB15">
        <f t="shared" si="5"/>
        <v>0</v>
      </c>
      <c r="AC15" s="158" t="e">
        <f t="shared" ref="AC15:AC32" si="14">1-V15/AB15</f>
        <v>#DIV/0!</v>
      </c>
      <c r="AE15" s="237"/>
      <c r="AF15" s="245"/>
      <c r="AG15" s="252">
        <f t="shared" ref="AG15:AG57" si="15">SUM(AF15*1.1)</f>
        <v>0</v>
      </c>
      <c r="AH15" s="251">
        <f t="shared" si="6"/>
        <v>0</v>
      </c>
      <c r="AI15" s="247">
        <f t="shared" si="7"/>
        <v>0</v>
      </c>
      <c r="AJ15" s="243"/>
      <c r="AK15" s="240">
        <f t="shared" si="8"/>
        <v>0</v>
      </c>
      <c r="AL15" s="244">
        <f t="shared" si="9"/>
        <v>0</v>
      </c>
      <c r="AM15" s="165"/>
      <c r="AP15" s="165">
        <f t="shared" si="10"/>
        <v>0</v>
      </c>
      <c r="AR15" s="165">
        <f t="shared" si="11"/>
        <v>0</v>
      </c>
      <c r="AT15" s="165">
        <f t="shared" si="12"/>
        <v>0</v>
      </c>
    </row>
    <row r="16" spans="1:48" ht="20.100000000000001" hidden="1" customHeight="1" thickBot="1">
      <c r="A16" s="464">
        <v>1109</v>
      </c>
      <c r="B16" s="464" t="s">
        <v>51</v>
      </c>
      <c r="C16" s="464" t="s">
        <v>100</v>
      </c>
      <c r="D16" s="469">
        <v>1.5</v>
      </c>
      <c r="E16" s="469">
        <v>50</v>
      </c>
      <c r="F16" s="469">
        <v>75</v>
      </c>
      <c r="G16" s="469">
        <v>100</v>
      </c>
      <c r="H16" s="464" t="s">
        <v>30</v>
      </c>
      <c r="I16" s="81" t="s">
        <v>80</v>
      </c>
      <c r="J16" s="46">
        <f t="shared" si="0"/>
        <v>0</v>
      </c>
      <c r="K16" s="461">
        <f t="shared" si="4"/>
        <v>0</v>
      </c>
      <c r="L16" s="81" t="s">
        <v>8</v>
      </c>
      <c r="M16" s="145"/>
      <c r="N16" s="145"/>
      <c r="O16" s="145"/>
      <c r="P16" s="145"/>
      <c r="Q16" s="149"/>
      <c r="R16" s="150"/>
      <c r="S16" s="145"/>
      <c r="T16" s="145"/>
      <c r="U16" s="154"/>
      <c r="V16" s="154"/>
      <c r="W16" s="145"/>
      <c r="X16" s="145"/>
      <c r="Y16" s="145"/>
      <c r="Z16" s="145"/>
      <c r="AA16">
        <f t="shared" si="13"/>
        <v>0</v>
      </c>
      <c r="AB16">
        <f t="shared" si="5"/>
        <v>0</v>
      </c>
      <c r="AC16" s="158" t="e">
        <f t="shared" si="14"/>
        <v>#DIV/0!</v>
      </c>
      <c r="AE16" s="237"/>
      <c r="AF16" s="245"/>
      <c r="AG16" s="252">
        <f t="shared" si="15"/>
        <v>0</v>
      </c>
      <c r="AH16" s="251">
        <f t="shared" si="6"/>
        <v>0</v>
      </c>
      <c r="AI16" s="247">
        <f t="shared" si="7"/>
        <v>0</v>
      </c>
      <c r="AJ16" s="243"/>
      <c r="AK16" s="240">
        <f t="shared" si="8"/>
        <v>0</v>
      </c>
      <c r="AL16" s="244">
        <f t="shared" si="9"/>
        <v>0</v>
      </c>
      <c r="AM16" s="165"/>
      <c r="AP16" s="165">
        <f t="shared" si="10"/>
        <v>0</v>
      </c>
      <c r="AR16" s="165">
        <f t="shared" si="11"/>
        <v>0</v>
      </c>
      <c r="AT16" s="165">
        <f t="shared" si="12"/>
        <v>0</v>
      </c>
    </row>
    <row r="17" spans="1:48" ht="28.5" hidden="1" customHeight="1" thickBot="1">
      <c r="A17" s="463">
        <v>1081</v>
      </c>
      <c r="B17" s="463" t="s">
        <v>51</v>
      </c>
      <c r="C17" s="463" t="s">
        <v>101</v>
      </c>
      <c r="D17" s="468">
        <v>1.5</v>
      </c>
      <c r="E17" s="468">
        <v>50</v>
      </c>
      <c r="F17" s="468">
        <v>75</v>
      </c>
      <c r="G17" s="468">
        <v>100</v>
      </c>
      <c r="H17" s="463" t="s">
        <v>30</v>
      </c>
      <c r="I17" s="41" t="s">
        <v>23</v>
      </c>
      <c r="J17" s="45">
        <f t="shared" si="0"/>
        <v>0</v>
      </c>
      <c r="K17" s="461">
        <f t="shared" si="4"/>
        <v>0</v>
      </c>
      <c r="L17" s="41" t="s">
        <v>8</v>
      </c>
      <c r="M17" s="145"/>
      <c r="N17" s="145"/>
      <c r="O17" s="145"/>
      <c r="P17" s="145"/>
      <c r="Q17" s="149"/>
      <c r="R17" s="150"/>
      <c r="S17" s="145"/>
      <c r="T17" s="145"/>
      <c r="U17" s="154"/>
      <c r="V17" s="154"/>
      <c r="W17" s="145"/>
      <c r="X17" s="145"/>
      <c r="Y17" s="145"/>
      <c r="Z17" s="145"/>
      <c r="AA17">
        <f t="shared" si="13"/>
        <v>0</v>
      </c>
      <c r="AB17">
        <f t="shared" si="5"/>
        <v>0</v>
      </c>
      <c r="AC17" s="158" t="e">
        <f t="shared" si="14"/>
        <v>#DIV/0!</v>
      </c>
      <c r="AE17" s="237"/>
      <c r="AF17" s="245"/>
      <c r="AG17" s="252">
        <f t="shared" si="15"/>
        <v>0</v>
      </c>
      <c r="AH17" s="251">
        <f t="shared" si="6"/>
        <v>0</v>
      </c>
      <c r="AI17" s="247">
        <f t="shared" si="7"/>
        <v>0</v>
      </c>
      <c r="AJ17" s="243"/>
      <c r="AK17" s="240">
        <f t="shared" si="8"/>
        <v>0</v>
      </c>
      <c r="AL17" s="244">
        <f t="shared" si="9"/>
        <v>0</v>
      </c>
      <c r="AM17" s="165"/>
      <c r="AP17" s="165">
        <f t="shared" si="10"/>
        <v>0</v>
      </c>
      <c r="AR17" s="165">
        <f t="shared" si="11"/>
        <v>0</v>
      </c>
      <c r="AT17" s="165">
        <f t="shared" si="12"/>
        <v>0</v>
      </c>
    </row>
    <row r="18" spans="1:48" ht="28.5" hidden="1" customHeight="1" thickBot="1">
      <c r="A18" s="464">
        <v>1082</v>
      </c>
      <c r="B18" s="464" t="s">
        <v>51</v>
      </c>
      <c r="C18" s="464" t="s">
        <v>102</v>
      </c>
      <c r="D18" s="469">
        <v>1.5</v>
      </c>
      <c r="E18" s="469">
        <v>50</v>
      </c>
      <c r="F18" s="469">
        <v>75</v>
      </c>
      <c r="G18" s="469">
        <v>100</v>
      </c>
      <c r="H18" s="464" t="s">
        <v>30</v>
      </c>
      <c r="I18" s="81" t="s">
        <v>23</v>
      </c>
      <c r="J18" s="46">
        <f t="shared" si="0"/>
        <v>0</v>
      </c>
      <c r="K18" s="461">
        <f t="shared" si="4"/>
        <v>0</v>
      </c>
      <c r="L18" s="81" t="s">
        <v>8</v>
      </c>
      <c r="M18" s="145"/>
      <c r="N18" s="145"/>
      <c r="O18" s="145"/>
      <c r="P18" s="145"/>
      <c r="Q18" s="149"/>
      <c r="R18" s="150"/>
      <c r="S18" s="145"/>
      <c r="T18" s="145"/>
      <c r="U18" s="154"/>
      <c r="V18" s="154"/>
      <c r="W18" s="145"/>
      <c r="X18" s="145"/>
      <c r="Y18" s="145"/>
      <c r="Z18" s="145"/>
      <c r="AA18">
        <f t="shared" si="13"/>
        <v>0</v>
      </c>
      <c r="AB18">
        <f t="shared" si="5"/>
        <v>0</v>
      </c>
      <c r="AC18" s="158" t="e">
        <f t="shared" si="14"/>
        <v>#DIV/0!</v>
      </c>
      <c r="AE18" s="237"/>
      <c r="AF18" s="245"/>
      <c r="AG18" s="252">
        <f t="shared" si="15"/>
        <v>0</v>
      </c>
      <c r="AH18" s="251">
        <f t="shared" si="6"/>
        <v>0</v>
      </c>
      <c r="AI18" s="247">
        <f t="shared" si="7"/>
        <v>0</v>
      </c>
      <c r="AJ18" s="243"/>
      <c r="AK18" s="240">
        <f t="shared" si="8"/>
        <v>0</v>
      </c>
      <c r="AL18" s="244">
        <f t="shared" si="9"/>
        <v>0</v>
      </c>
      <c r="AM18" s="165"/>
      <c r="AP18" s="165">
        <f t="shared" si="10"/>
        <v>0</v>
      </c>
      <c r="AR18" s="165">
        <f t="shared" si="11"/>
        <v>0</v>
      </c>
      <c r="AT18" s="165">
        <f t="shared" si="12"/>
        <v>0</v>
      </c>
    </row>
    <row r="19" spans="1:48" ht="20.100000000000001" hidden="1" customHeight="1" thickBot="1">
      <c r="A19" s="463"/>
      <c r="B19" s="463" t="s">
        <v>111</v>
      </c>
      <c r="C19" s="463" t="s">
        <v>64</v>
      </c>
      <c r="D19" s="468">
        <v>1.5</v>
      </c>
      <c r="E19" s="468">
        <v>50</v>
      </c>
      <c r="F19" s="468">
        <v>75</v>
      </c>
      <c r="G19" s="468">
        <v>100</v>
      </c>
      <c r="H19" s="463" t="s">
        <v>30</v>
      </c>
      <c r="I19" s="41" t="s">
        <v>31</v>
      </c>
      <c r="J19" s="45">
        <f t="shared" si="0"/>
        <v>0</v>
      </c>
      <c r="K19" s="461">
        <f t="shared" si="4"/>
        <v>0</v>
      </c>
      <c r="L19" s="41" t="s">
        <v>103</v>
      </c>
      <c r="M19" s="145"/>
      <c r="N19" s="145"/>
      <c r="O19" s="145"/>
      <c r="P19" s="145"/>
      <c r="Q19" s="149"/>
      <c r="R19" s="150"/>
      <c r="S19" s="145"/>
      <c r="T19" s="145"/>
      <c r="U19" s="154"/>
      <c r="V19" s="154"/>
      <c r="W19" s="145"/>
      <c r="X19" s="145"/>
      <c r="Y19" s="145"/>
      <c r="Z19" s="145"/>
      <c r="AA19">
        <f t="shared" si="13"/>
        <v>0</v>
      </c>
      <c r="AB19">
        <f t="shared" si="5"/>
        <v>0</v>
      </c>
      <c r="AC19" s="158" t="e">
        <f t="shared" si="14"/>
        <v>#DIV/0!</v>
      </c>
      <c r="AE19" s="237"/>
      <c r="AF19" s="245"/>
      <c r="AG19" s="252">
        <f t="shared" si="15"/>
        <v>0</v>
      </c>
      <c r="AH19" s="251">
        <f t="shared" si="6"/>
        <v>0</v>
      </c>
      <c r="AI19" s="247">
        <f t="shared" si="7"/>
        <v>0</v>
      </c>
      <c r="AJ19" s="243"/>
      <c r="AK19" s="240">
        <f t="shared" si="8"/>
        <v>0</v>
      </c>
      <c r="AL19" s="244">
        <f t="shared" si="9"/>
        <v>0</v>
      </c>
      <c r="AM19" s="165"/>
      <c r="AP19" s="165">
        <f t="shared" si="10"/>
        <v>0</v>
      </c>
      <c r="AR19" s="165">
        <f t="shared" si="11"/>
        <v>0</v>
      </c>
      <c r="AT19" s="165">
        <f t="shared" si="12"/>
        <v>0</v>
      </c>
    </row>
    <row r="20" spans="1:48" ht="20.100000000000001" hidden="1" customHeight="1">
      <c r="A20" s="465"/>
      <c r="B20" s="465" t="s">
        <v>111</v>
      </c>
      <c r="C20" s="465" t="s">
        <v>63</v>
      </c>
      <c r="D20" s="470">
        <v>1.5</v>
      </c>
      <c r="E20" s="470">
        <v>50</v>
      </c>
      <c r="F20" s="470">
        <v>75</v>
      </c>
      <c r="G20" s="470">
        <v>100</v>
      </c>
      <c r="H20" s="465" t="s">
        <v>30</v>
      </c>
      <c r="I20" s="69" t="s">
        <v>31</v>
      </c>
      <c r="J20" s="140">
        <f t="shared" si="0"/>
        <v>0</v>
      </c>
      <c r="K20" s="461">
        <f t="shared" si="4"/>
        <v>0</v>
      </c>
      <c r="L20" s="69" t="s">
        <v>103</v>
      </c>
      <c r="M20" s="145"/>
      <c r="N20" s="145"/>
      <c r="O20" s="145"/>
      <c r="P20" s="145"/>
      <c r="Q20" s="149"/>
      <c r="R20" s="150"/>
      <c r="S20" s="145"/>
      <c r="T20" s="145"/>
      <c r="U20" s="154"/>
      <c r="V20" s="154"/>
      <c r="W20" s="145"/>
      <c r="X20" s="145"/>
      <c r="Y20" s="145"/>
      <c r="Z20" s="145"/>
      <c r="AA20">
        <f t="shared" si="13"/>
        <v>0</v>
      </c>
      <c r="AB20">
        <f t="shared" si="5"/>
        <v>0</v>
      </c>
      <c r="AC20" s="158" t="e">
        <f t="shared" si="14"/>
        <v>#DIV/0!</v>
      </c>
      <c r="AE20" s="237"/>
      <c r="AF20" s="245"/>
      <c r="AG20" s="252">
        <f t="shared" si="15"/>
        <v>0</v>
      </c>
      <c r="AH20" s="251">
        <f t="shared" si="6"/>
        <v>0</v>
      </c>
      <c r="AI20" s="247">
        <f t="shared" si="7"/>
        <v>0</v>
      </c>
      <c r="AJ20" s="243"/>
      <c r="AK20" s="240">
        <f t="shared" si="8"/>
        <v>0</v>
      </c>
      <c r="AL20" s="244">
        <f t="shared" si="9"/>
        <v>0</v>
      </c>
      <c r="AM20" s="165"/>
      <c r="AP20" s="165">
        <f t="shared" si="10"/>
        <v>0</v>
      </c>
      <c r="AR20" s="165">
        <f t="shared" si="11"/>
        <v>0</v>
      </c>
      <c r="AT20" s="165">
        <f t="shared" si="12"/>
        <v>0</v>
      </c>
    </row>
    <row r="21" spans="1:48" ht="20.100000000000001" customHeight="1" thickBot="1">
      <c r="A21" s="557" t="s">
        <v>630</v>
      </c>
      <c r="B21" s="558"/>
      <c r="C21" s="559"/>
      <c r="D21" s="468">
        <v>1.5</v>
      </c>
      <c r="E21" s="468">
        <v>50</v>
      </c>
      <c r="F21" s="468">
        <v>75</v>
      </c>
      <c r="G21" s="468">
        <v>100</v>
      </c>
      <c r="H21" s="463" t="s">
        <v>30</v>
      </c>
      <c r="I21" s="41" t="s">
        <v>80</v>
      </c>
      <c r="J21" s="45">
        <f>K21*75</f>
        <v>712.5</v>
      </c>
      <c r="K21" s="461">
        <v>9.5</v>
      </c>
      <c r="L21" s="41" t="s">
        <v>8</v>
      </c>
      <c r="M21" s="190"/>
      <c r="N21" s="191"/>
      <c r="O21" s="190"/>
      <c r="P21" s="191"/>
      <c r="Q21" s="149"/>
      <c r="R21" s="150"/>
      <c r="S21" s="190"/>
      <c r="T21" s="191"/>
      <c r="U21" s="344"/>
      <c r="V21" s="345"/>
      <c r="W21" s="190"/>
      <c r="X21" s="346"/>
      <c r="Y21" s="346"/>
      <c r="Z21" s="191"/>
      <c r="AC21" s="158"/>
      <c r="AE21" s="237"/>
      <c r="AF21" s="245"/>
      <c r="AG21" s="252"/>
      <c r="AH21" s="251"/>
      <c r="AI21" s="247"/>
      <c r="AJ21" s="243"/>
      <c r="AK21" s="240"/>
      <c r="AL21" s="244"/>
      <c r="AM21" s="165"/>
      <c r="AN21">
        <v>7.7</v>
      </c>
      <c r="AP21" s="165">
        <f t="shared" si="10"/>
        <v>11.087999999999999</v>
      </c>
      <c r="AR21" s="165">
        <f t="shared" si="11"/>
        <v>8.4268799999999988</v>
      </c>
      <c r="AT21" s="165">
        <f t="shared" si="12"/>
        <v>7.5841919999999989</v>
      </c>
      <c r="AU21">
        <v>6.5</v>
      </c>
      <c r="AV21">
        <v>9.5</v>
      </c>
    </row>
    <row r="22" spans="1:48" ht="20.100000000000001" customHeight="1" thickBot="1">
      <c r="A22" s="554" t="s">
        <v>631</v>
      </c>
      <c r="B22" s="555"/>
      <c r="C22" s="556"/>
      <c r="D22" s="469">
        <v>1.5</v>
      </c>
      <c r="E22" s="469">
        <v>50</v>
      </c>
      <c r="F22" s="469">
        <v>75</v>
      </c>
      <c r="G22" s="469">
        <v>100</v>
      </c>
      <c r="H22" s="464" t="s">
        <v>30</v>
      </c>
      <c r="I22" s="81" t="s">
        <v>80</v>
      </c>
      <c r="J22" s="46" t="s">
        <v>537</v>
      </c>
      <c r="K22" s="467" t="s">
        <v>537</v>
      </c>
      <c r="L22" s="81" t="s">
        <v>650</v>
      </c>
      <c r="M22" s="190"/>
      <c r="N22" s="191"/>
      <c r="O22" s="190"/>
      <c r="P22" s="191"/>
      <c r="Q22" s="149"/>
      <c r="R22" s="150"/>
      <c r="S22" s="190"/>
      <c r="T22" s="191"/>
      <c r="U22" s="344"/>
      <c r="V22" s="345"/>
      <c r="W22" s="190"/>
      <c r="X22" s="346"/>
      <c r="Y22" s="346"/>
      <c r="Z22" s="191"/>
      <c r="AC22" s="158"/>
      <c r="AE22" s="237"/>
      <c r="AF22" s="245"/>
      <c r="AG22" s="252"/>
      <c r="AH22" s="251"/>
      <c r="AI22" s="247"/>
      <c r="AJ22" s="243"/>
      <c r="AK22" s="240"/>
      <c r="AL22" s="244"/>
      <c r="AM22" s="165"/>
      <c r="AN22">
        <v>7.7</v>
      </c>
      <c r="AP22" s="165">
        <f t="shared" si="10"/>
        <v>11.087999999999999</v>
      </c>
      <c r="AR22" s="165">
        <f t="shared" si="11"/>
        <v>8.4268799999999988</v>
      </c>
      <c r="AT22" s="165">
        <f t="shared" si="12"/>
        <v>7.5841919999999989</v>
      </c>
      <c r="AU22" s="466"/>
      <c r="AV22" s="466"/>
    </row>
    <row r="23" spans="1:48" ht="20.100000000000001" customHeight="1" thickBot="1">
      <c r="A23" s="557" t="s">
        <v>755</v>
      </c>
      <c r="B23" s="558"/>
      <c r="C23" s="559"/>
      <c r="D23" s="468">
        <v>1.5</v>
      </c>
      <c r="E23" s="468">
        <v>50</v>
      </c>
      <c r="F23" s="468">
        <v>75</v>
      </c>
      <c r="G23" s="468">
        <v>90</v>
      </c>
      <c r="H23" s="463" t="s">
        <v>30</v>
      </c>
      <c r="I23" s="41" t="s">
        <v>756</v>
      </c>
      <c r="J23" s="45">
        <f>K23*75</f>
        <v>1270.5</v>
      </c>
      <c r="K23" s="461">
        <v>16.940000000000001</v>
      </c>
      <c r="L23" s="41" t="s">
        <v>8</v>
      </c>
      <c r="M23" s="190"/>
      <c r="N23" s="191"/>
      <c r="O23" s="190"/>
      <c r="P23" s="191"/>
      <c r="Q23" s="149"/>
      <c r="R23" s="150"/>
      <c r="S23" s="190"/>
      <c r="T23" s="191"/>
      <c r="U23" s="344"/>
      <c r="V23" s="345"/>
      <c r="W23" s="190"/>
      <c r="X23" s="346"/>
      <c r="Y23" s="346"/>
      <c r="Z23" s="191"/>
      <c r="AC23" s="158"/>
      <c r="AE23" s="237"/>
      <c r="AF23" s="245"/>
      <c r="AG23" s="252"/>
      <c r="AH23" s="251"/>
      <c r="AI23" s="247"/>
      <c r="AJ23" s="243"/>
      <c r="AK23" s="240"/>
      <c r="AL23" s="244"/>
      <c r="AM23" s="165"/>
      <c r="AP23" s="165"/>
      <c r="AR23" s="165"/>
      <c r="AT23" s="165"/>
      <c r="AU23">
        <v>11.6</v>
      </c>
      <c r="AV23">
        <v>16.940000000000001</v>
      </c>
    </row>
    <row r="24" spans="1:48" ht="20.100000000000001" customHeight="1" thickBot="1">
      <c r="A24" s="554" t="s">
        <v>752</v>
      </c>
      <c r="B24" s="555"/>
      <c r="C24" s="556"/>
      <c r="D24" s="469">
        <v>1.5</v>
      </c>
      <c r="E24" s="469">
        <v>50</v>
      </c>
      <c r="F24" s="469">
        <v>75</v>
      </c>
      <c r="G24" s="469">
        <v>110</v>
      </c>
      <c r="H24" s="464" t="s">
        <v>30</v>
      </c>
      <c r="I24" s="81" t="s">
        <v>80</v>
      </c>
      <c r="J24" s="46">
        <f>K24*75</f>
        <v>788.25</v>
      </c>
      <c r="K24" s="460">
        <v>10.51</v>
      </c>
      <c r="L24" s="81" t="s">
        <v>8</v>
      </c>
      <c r="M24" s="190"/>
      <c r="N24" s="191"/>
      <c r="O24" s="190"/>
      <c r="P24" s="191"/>
      <c r="Q24" s="149"/>
      <c r="R24" s="150"/>
      <c r="S24" s="190"/>
      <c r="T24" s="191"/>
      <c r="U24" s="344"/>
      <c r="V24" s="345"/>
      <c r="W24" s="190"/>
      <c r="X24" s="346"/>
      <c r="Y24" s="346"/>
      <c r="Z24" s="191"/>
      <c r="AC24" s="158"/>
      <c r="AE24" s="237"/>
      <c r="AF24" s="245"/>
      <c r="AG24" s="252"/>
      <c r="AH24" s="251"/>
      <c r="AI24" s="247"/>
      <c r="AJ24" s="243"/>
      <c r="AK24" s="240"/>
      <c r="AL24" s="244"/>
      <c r="AM24" s="165"/>
      <c r="AP24" s="165"/>
      <c r="AR24" s="165"/>
      <c r="AT24" s="165"/>
    </row>
    <row r="25" spans="1:48" ht="20.100000000000001" customHeight="1" thickBot="1">
      <c r="A25" s="557" t="s">
        <v>753</v>
      </c>
      <c r="B25" s="558"/>
      <c r="C25" s="559"/>
      <c r="D25" s="468">
        <v>1.5</v>
      </c>
      <c r="E25" s="468">
        <v>50</v>
      </c>
      <c r="F25" s="468">
        <v>75</v>
      </c>
      <c r="G25" s="468">
        <v>110</v>
      </c>
      <c r="H25" s="463" t="s">
        <v>30</v>
      </c>
      <c r="I25" s="41" t="s">
        <v>80</v>
      </c>
      <c r="J25" s="45">
        <f>K25*75</f>
        <v>788.25</v>
      </c>
      <c r="K25" s="461">
        <v>10.51</v>
      </c>
      <c r="L25" s="41" t="s">
        <v>8</v>
      </c>
      <c r="M25" s="190"/>
      <c r="N25" s="191"/>
      <c r="O25" s="190"/>
      <c r="P25" s="191"/>
      <c r="Q25" s="149"/>
      <c r="R25" s="150"/>
      <c r="S25" s="190"/>
      <c r="T25" s="191"/>
      <c r="U25" s="344"/>
      <c r="V25" s="345"/>
      <c r="W25" s="190"/>
      <c r="X25" s="346"/>
      <c r="Y25" s="346"/>
      <c r="Z25" s="191"/>
      <c r="AC25" s="158"/>
      <c r="AE25" s="237"/>
      <c r="AF25" s="245"/>
      <c r="AG25" s="252"/>
      <c r="AH25" s="251"/>
      <c r="AI25" s="247"/>
      <c r="AJ25" s="243"/>
      <c r="AK25" s="240"/>
      <c r="AL25" s="244"/>
      <c r="AM25" s="165"/>
      <c r="AP25" s="165"/>
      <c r="AR25" s="165"/>
      <c r="AT25" s="165"/>
    </row>
    <row r="26" spans="1:48" ht="14.1" customHeight="1">
      <c r="A26" s="580" t="s">
        <v>81</v>
      </c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147"/>
      <c r="N26" s="148"/>
      <c r="O26" s="147"/>
      <c r="P26" s="148"/>
      <c r="Q26" s="149"/>
      <c r="R26" s="150"/>
      <c r="S26" s="623"/>
      <c r="T26" s="624"/>
      <c r="U26" s="639"/>
      <c r="V26" s="640"/>
      <c r="W26" s="645" t="s">
        <v>479</v>
      </c>
      <c r="X26" s="646"/>
      <c r="Y26" s="646"/>
      <c r="Z26" s="647"/>
      <c r="AC26" s="158"/>
      <c r="AE26" s="237"/>
      <c r="AF26" s="245"/>
      <c r="AG26" s="252">
        <f t="shared" si="15"/>
        <v>0</v>
      </c>
      <c r="AH26" s="251"/>
      <c r="AI26" s="247">
        <f t="shared" si="7"/>
        <v>0</v>
      </c>
      <c r="AJ26" s="243"/>
      <c r="AK26" s="240"/>
      <c r="AL26" s="244"/>
      <c r="AM26" s="165"/>
    </row>
    <row r="27" spans="1:48" ht="20.25" customHeight="1" thickBot="1">
      <c r="A27" s="605" t="s">
        <v>3</v>
      </c>
      <c r="B27" s="606"/>
      <c r="C27" s="606"/>
      <c r="D27" s="606"/>
      <c r="E27" s="606"/>
      <c r="F27" s="606"/>
      <c r="G27" s="606"/>
      <c r="H27" s="606"/>
      <c r="I27" s="607"/>
      <c r="J27" s="614" t="s">
        <v>5</v>
      </c>
      <c r="K27" s="615"/>
      <c r="L27" s="616"/>
      <c r="M27" s="149"/>
      <c r="N27" s="150"/>
      <c r="O27" s="149"/>
      <c r="P27" s="150"/>
      <c r="Q27" s="149"/>
      <c r="R27" s="150"/>
      <c r="S27" s="625"/>
      <c r="T27" s="626"/>
      <c r="U27" s="641"/>
      <c r="V27" s="642"/>
      <c r="W27" s="648"/>
      <c r="X27" s="649"/>
      <c r="Y27" s="649"/>
      <c r="Z27" s="650"/>
      <c r="AC27" s="158"/>
      <c r="AE27" s="237"/>
      <c r="AF27" s="245"/>
      <c r="AG27" s="252">
        <f t="shared" si="15"/>
        <v>0</v>
      </c>
      <c r="AH27" s="251"/>
      <c r="AI27" s="247">
        <f t="shared" si="7"/>
        <v>0</v>
      </c>
      <c r="AJ27" s="243"/>
      <c r="AK27" s="240"/>
      <c r="AL27" s="244"/>
      <c r="AM27" s="165"/>
    </row>
    <row r="28" spans="1:48" ht="29.25" customHeight="1" thickBot="1">
      <c r="A28" s="587" t="s">
        <v>28</v>
      </c>
      <c r="B28" s="588"/>
      <c r="C28" s="589"/>
      <c r="D28" s="83" t="s">
        <v>52</v>
      </c>
      <c r="E28" s="83" t="s">
        <v>46</v>
      </c>
      <c r="F28" s="83" t="s">
        <v>26</v>
      </c>
      <c r="G28" s="83" t="s">
        <v>27</v>
      </c>
      <c r="H28" s="83" t="s">
        <v>25</v>
      </c>
      <c r="I28" s="83" t="s">
        <v>22</v>
      </c>
      <c r="J28" s="83" t="s">
        <v>96</v>
      </c>
      <c r="K28" s="83" t="s">
        <v>113</v>
      </c>
      <c r="L28" s="84" t="s">
        <v>4</v>
      </c>
      <c r="M28" s="149"/>
      <c r="N28" s="150"/>
      <c r="O28" s="149"/>
      <c r="P28" s="150"/>
      <c r="Q28" s="149"/>
      <c r="R28" s="150"/>
      <c r="S28" s="625"/>
      <c r="T28" s="626"/>
      <c r="U28" s="641"/>
      <c r="V28" s="642"/>
      <c r="W28" s="648"/>
      <c r="X28" s="649"/>
      <c r="Y28" s="649"/>
      <c r="Z28" s="650"/>
      <c r="AC28" s="158"/>
      <c r="AE28" s="237"/>
      <c r="AF28" s="245"/>
      <c r="AG28" s="252">
        <f t="shared" si="15"/>
        <v>0</v>
      </c>
      <c r="AH28" s="251"/>
      <c r="AI28" s="247">
        <f t="shared" si="7"/>
        <v>0</v>
      </c>
      <c r="AJ28" s="243"/>
      <c r="AK28" s="240"/>
      <c r="AL28" s="244"/>
      <c r="AM28" s="165"/>
    </row>
    <row r="29" spans="1:48" ht="10.5" hidden="1" customHeight="1" thickBot="1">
      <c r="A29" s="574" t="s">
        <v>38</v>
      </c>
      <c r="B29" s="575"/>
      <c r="C29" s="576"/>
      <c r="D29" s="42">
        <v>1.5</v>
      </c>
      <c r="E29" s="42">
        <v>50</v>
      </c>
      <c r="F29" s="42">
        <v>75</v>
      </c>
      <c r="G29" s="42">
        <v>115</v>
      </c>
      <c r="H29" s="41" t="s">
        <v>30</v>
      </c>
      <c r="I29" s="41" t="s">
        <v>39</v>
      </c>
      <c r="J29" s="100">
        <f>K29*75</f>
        <v>0</v>
      </c>
      <c r="K29" s="72"/>
      <c r="L29" s="41" t="s">
        <v>62</v>
      </c>
      <c r="M29" s="149"/>
      <c r="N29" s="150"/>
      <c r="O29" s="149"/>
      <c r="P29" s="150"/>
      <c r="Q29" s="149"/>
      <c r="R29" s="150"/>
      <c r="S29" s="625"/>
      <c r="T29" s="626"/>
      <c r="U29" s="641"/>
      <c r="V29" s="642"/>
      <c r="W29" s="648"/>
      <c r="X29" s="649"/>
      <c r="Y29" s="649"/>
      <c r="Z29" s="650"/>
      <c r="AA29">
        <f t="shared" si="13"/>
        <v>0</v>
      </c>
      <c r="AB29">
        <f t="shared" si="5"/>
        <v>0</v>
      </c>
      <c r="AC29" s="158" t="e">
        <f t="shared" si="14"/>
        <v>#DIV/0!</v>
      </c>
      <c r="AE29" s="237"/>
      <c r="AF29" s="245"/>
      <c r="AG29" s="252">
        <f t="shared" si="15"/>
        <v>0</v>
      </c>
      <c r="AH29" s="251">
        <f t="shared" si="6"/>
        <v>0</v>
      </c>
      <c r="AI29" s="247">
        <f t="shared" si="7"/>
        <v>0</v>
      </c>
      <c r="AJ29" s="243"/>
      <c r="AK29" s="240">
        <f t="shared" si="8"/>
        <v>0</v>
      </c>
      <c r="AL29" s="244">
        <f t="shared" si="9"/>
        <v>0</v>
      </c>
      <c r="AM29" s="165"/>
    </row>
    <row r="30" spans="1:48" ht="21.75" hidden="1" customHeight="1">
      <c r="A30" s="608"/>
      <c r="B30" s="609"/>
      <c r="C30" s="85" t="s">
        <v>40</v>
      </c>
      <c r="D30" s="86">
        <v>1.5</v>
      </c>
      <c r="E30" s="86">
        <v>50</v>
      </c>
      <c r="F30" s="86">
        <v>75</v>
      </c>
      <c r="G30" s="86">
        <v>135</v>
      </c>
      <c r="H30" s="85" t="s">
        <v>30</v>
      </c>
      <c r="I30" s="85" t="s">
        <v>39</v>
      </c>
      <c r="J30" s="100">
        <f>K30*75</f>
        <v>0</v>
      </c>
      <c r="K30" s="72"/>
      <c r="L30" s="85" t="s">
        <v>8</v>
      </c>
      <c r="M30" s="149"/>
      <c r="N30" s="150"/>
      <c r="O30" s="149"/>
      <c r="P30" s="150"/>
      <c r="Q30" s="149"/>
      <c r="R30" s="150"/>
      <c r="S30" s="625"/>
      <c r="T30" s="626"/>
      <c r="U30" s="641"/>
      <c r="V30" s="642"/>
      <c r="W30" s="648"/>
      <c r="X30" s="649"/>
      <c r="Y30" s="649"/>
      <c r="Z30" s="650"/>
      <c r="AA30">
        <f t="shared" si="13"/>
        <v>0</v>
      </c>
      <c r="AB30">
        <f t="shared" si="5"/>
        <v>0</v>
      </c>
      <c r="AC30" s="158" t="e">
        <f t="shared" si="14"/>
        <v>#DIV/0!</v>
      </c>
      <c r="AE30" s="237"/>
      <c r="AF30" s="245"/>
      <c r="AG30" s="252">
        <f t="shared" si="15"/>
        <v>0</v>
      </c>
      <c r="AH30" s="251">
        <f t="shared" si="6"/>
        <v>0</v>
      </c>
      <c r="AI30" s="247">
        <f t="shared" si="7"/>
        <v>0</v>
      </c>
      <c r="AJ30" s="243"/>
      <c r="AK30" s="240">
        <f t="shared" si="8"/>
        <v>0</v>
      </c>
      <c r="AL30" s="244">
        <f t="shared" si="9"/>
        <v>0</v>
      </c>
      <c r="AM30" s="165"/>
    </row>
    <row r="31" spans="1:48" ht="13.5" hidden="1" customHeight="1" thickBot="1">
      <c r="A31" s="608"/>
      <c r="B31" s="609"/>
      <c r="C31" s="85" t="s">
        <v>41</v>
      </c>
      <c r="D31" s="86">
        <v>1.5</v>
      </c>
      <c r="E31" s="86">
        <v>50</v>
      </c>
      <c r="F31" s="86">
        <v>75</v>
      </c>
      <c r="G31" s="86">
        <v>95</v>
      </c>
      <c r="H31" s="85" t="s">
        <v>30</v>
      </c>
      <c r="I31" s="85" t="s">
        <v>39</v>
      </c>
      <c r="J31" s="100">
        <f>K31*75</f>
        <v>0</v>
      </c>
      <c r="K31" s="72"/>
      <c r="L31" s="85" t="s">
        <v>8</v>
      </c>
      <c r="M31" s="149"/>
      <c r="N31" s="150"/>
      <c r="O31" s="149"/>
      <c r="P31" s="150"/>
      <c r="Q31" s="149"/>
      <c r="R31" s="150"/>
      <c r="S31" s="625"/>
      <c r="T31" s="626"/>
      <c r="U31" s="641"/>
      <c r="V31" s="642"/>
      <c r="W31" s="648"/>
      <c r="X31" s="649"/>
      <c r="Y31" s="649"/>
      <c r="Z31" s="650"/>
      <c r="AA31">
        <f t="shared" si="13"/>
        <v>0</v>
      </c>
      <c r="AB31">
        <f t="shared" si="5"/>
        <v>0</v>
      </c>
      <c r="AC31" s="158" t="e">
        <f t="shared" si="14"/>
        <v>#DIV/0!</v>
      </c>
      <c r="AE31" s="237"/>
      <c r="AF31" s="245"/>
      <c r="AG31" s="252">
        <f t="shared" si="15"/>
        <v>0</v>
      </c>
      <c r="AH31" s="251">
        <f t="shared" si="6"/>
        <v>0</v>
      </c>
      <c r="AI31" s="247">
        <f t="shared" si="7"/>
        <v>0</v>
      </c>
      <c r="AJ31" s="243"/>
      <c r="AK31" s="240">
        <f t="shared" si="8"/>
        <v>0</v>
      </c>
      <c r="AL31" s="244">
        <f t="shared" si="9"/>
        <v>0</v>
      </c>
      <c r="AM31" s="165"/>
    </row>
    <row r="32" spans="1:48" ht="15" hidden="1" customHeight="1" thickBot="1">
      <c r="A32" s="590" t="s">
        <v>42</v>
      </c>
      <c r="B32" s="591"/>
      <c r="C32" s="592"/>
      <c r="D32" s="82">
        <v>1.5</v>
      </c>
      <c r="E32" s="82">
        <v>50</v>
      </c>
      <c r="F32" s="82">
        <v>75</v>
      </c>
      <c r="G32" s="82">
        <v>85</v>
      </c>
      <c r="H32" s="69" t="s">
        <v>30</v>
      </c>
      <c r="I32" s="69" t="s">
        <v>39</v>
      </c>
      <c r="J32" s="100">
        <f>K32*75</f>
        <v>0</v>
      </c>
      <c r="K32" s="72"/>
      <c r="L32" s="69" t="s">
        <v>62</v>
      </c>
      <c r="M32" s="149"/>
      <c r="N32" s="150"/>
      <c r="O32" s="149"/>
      <c r="P32" s="150"/>
      <c r="Q32" s="149"/>
      <c r="R32" s="150"/>
      <c r="S32" s="625"/>
      <c r="T32" s="626"/>
      <c r="U32" s="641"/>
      <c r="V32" s="642"/>
      <c r="W32" s="648"/>
      <c r="X32" s="649"/>
      <c r="Y32" s="649"/>
      <c r="Z32" s="650"/>
      <c r="AA32">
        <f t="shared" si="13"/>
        <v>0</v>
      </c>
      <c r="AB32">
        <f t="shared" si="5"/>
        <v>0</v>
      </c>
      <c r="AC32" s="158" t="e">
        <f t="shared" si="14"/>
        <v>#DIV/0!</v>
      </c>
      <c r="AE32" s="237"/>
      <c r="AF32" s="245"/>
      <c r="AG32" s="252">
        <f t="shared" si="15"/>
        <v>0</v>
      </c>
      <c r="AH32" s="251">
        <f t="shared" si="6"/>
        <v>0</v>
      </c>
      <c r="AI32" s="247">
        <f t="shared" si="7"/>
        <v>0</v>
      </c>
      <c r="AJ32" s="243"/>
      <c r="AK32" s="240">
        <f t="shared" si="8"/>
        <v>0</v>
      </c>
      <c r="AL32" s="244">
        <f t="shared" si="9"/>
        <v>0</v>
      </c>
      <c r="AM32" s="165"/>
    </row>
    <row r="33" spans="1:44" ht="18" customHeight="1" thickBot="1">
      <c r="A33" s="581" t="s">
        <v>644</v>
      </c>
      <c r="B33" s="582"/>
      <c r="C33" s="583"/>
      <c r="D33" s="22">
        <v>1.5</v>
      </c>
      <c r="E33" s="22">
        <v>50</v>
      </c>
      <c r="F33" s="22">
        <v>75</v>
      </c>
      <c r="G33" s="22">
        <v>125</v>
      </c>
      <c r="H33" s="311" t="s">
        <v>136</v>
      </c>
      <c r="I33" s="311" t="s">
        <v>137</v>
      </c>
      <c r="J33" s="322">
        <v>1259.25</v>
      </c>
      <c r="K33" s="322">
        <v>16.79</v>
      </c>
      <c r="L33" s="311" t="s">
        <v>8</v>
      </c>
      <c r="M33" s="151"/>
      <c r="N33" s="152"/>
      <c r="O33" s="151"/>
      <c r="P33" s="152"/>
      <c r="Q33" s="151"/>
      <c r="R33" s="161">
        <v>10</v>
      </c>
      <c r="S33" s="627"/>
      <c r="T33" s="628"/>
      <c r="U33" s="641"/>
      <c r="V33" s="642"/>
      <c r="W33" s="651"/>
      <c r="X33" s="652"/>
      <c r="Y33" s="652"/>
      <c r="Z33" s="653"/>
      <c r="AA33">
        <f>R33*1.4</f>
        <v>14</v>
      </c>
      <c r="AB33">
        <f t="shared" si="5"/>
        <v>10.64</v>
      </c>
      <c r="AC33" s="158">
        <f>1-R33/AB33</f>
        <v>6.0150375939849621E-2</v>
      </c>
      <c r="AE33" s="237">
        <v>7.7</v>
      </c>
      <c r="AF33" s="245">
        <v>10.94</v>
      </c>
      <c r="AG33" s="252">
        <f t="shared" si="15"/>
        <v>12.034000000000001</v>
      </c>
      <c r="AH33" s="251">
        <f t="shared" si="6"/>
        <v>12.760399999999999</v>
      </c>
      <c r="AI33" s="247">
        <f t="shared" si="7"/>
        <v>11.5824</v>
      </c>
      <c r="AJ33" s="243">
        <v>15.24</v>
      </c>
      <c r="AK33" s="240">
        <f t="shared" si="8"/>
        <v>10.8306</v>
      </c>
      <c r="AL33" s="244">
        <f t="shared" si="9"/>
        <v>3.1306000000000003</v>
      </c>
      <c r="AM33" s="165"/>
    </row>
    <row r="34" spans="1:44" ht="16.5" hidden="1" customHeight="1" thickTop="1" thickBot="1">
      <c r="A34" s="610" t="s">
        <v>644</v>
      </c>
      <c r="B34" s="611"/>
      <c r="C34" s="612"/>
      <c r="D34" s="323">
        <v>1.5</v>
      </c>
      <c r="E34" s="323">
        <v>50</v>
      </c>
      <c r="F34" s="323">
        <v>75</v>
      </c>
      <c r="G34" s="323">
        <v>115</v>
      </c>
      <c r="H34" s="310" t="s">
        <v>136</v>
      </c>
      <c r="I34" s="324" t="s">
        <v>137</v>
      </c>
      <c r="J34" s="322" t="s">
        <v>537</v>
      </c>
      <c r="K34" s="322" t="s">
        <v>537</v>
      </c>
      <c r="L34" s="311" t="s">
        <v>8</v>
      </c>
      <c r="M34" s="145">
        <f>N34*75</f>
        <v>982.5</v>
      </c>
      <c r="N34" s="145">
        <v>13.1</v>
      </c>
      <c r="O34" s="145">
        <f>P34*75</f>
        <v>975</v>
      </c>
      <c r="P34" s="145">
        <v>13</v>
      </c>
      <c r="Q34" s="145">
        <f>R34*75</f>
        <v>720</v>
      </c>
      <c r="R34" s="162">
        <v>9.6</v>
      </c>
      <c r="S34" s="145">
        <v>1190.4000000000001</v>
      </c>
      <c r="T34" s="145">
        <f>S34/75</f>
        <v>15.872000000000002</v>
      </c>
      <c r="U34" s="641"/>
      <c r="V34" s="642"/>
      <c r="W34" s="145">
        <v>850</v>
      </c>
      <c r="X34" s="145">
        <f>W34/75</f>
        <v>11.333333333333334</v>
      </c>
      <c r="Y34" s="145">
        <v>799</v>
      </c>
      <c r="Z34" s="145">
        <f>Y34/75</f>
        <v>10.653333333333334</v>
      </c>
      <c r="AA34">
        <f>R34*1.35</f>
        <v>12.96</v>
      </c>
      <c r="AB34">
        <f t="shared" si="5"/>
        <v>9.8496000000000006</v>
      </c>
      <c r="AC34" s="158">
        <f>1-R34/AB34</f>
        <v>2.5341130604288553E-2</v>
      </c>
      <c r="AE34" s="237">
        <v>6.9</v>
      </c>
      <c r="AF34" s="245">
        <v>9.6999999999999993</v>
      </c>
      <c r="AG34" s="252">
        <f t="shared" si="15"/>
        <v>10.67</v>
      </c>
      <c r="AH34" s="251" t="e">
        <f t="shared" si="6"/>
        <v>#VALUE!</v>
      </c>
      <c r="AI34" s="247">
        <f t="shared" si="7"/>
        <v>10.670399999999999</v>
      </c>
      <c r="AJ34" s="243">
        <v>14.04</v>
      </c>
      <c r="AK34" s="240">
        <f t="shared" si="8"/>
        <v>9.6029999999999998</v>
      </c>
      <c r="AL34" s="244">
        <f t="shared" si="9"/>
        <v>2.7029999999999994</v>
      </c>
      <c r="AM34" s="165"/>
    </row>
    <row r="35" spans="1:44" ht="16.5" customHeight="1" thickBot="1">
      <c r="A35" s="581" t="s">
        <v>504</v>
      </c>
      <c r="B35" s="582"/>
      <c r="C35" s="583"/>
      <c r="D35" s="325">
        <v>1.5</v>
      </c>
      <c r="E35" s="325">
        <v>50</v>
      </c>
      <c r="F35" s="325">
        <v>75</v>
      </c>
      <c r="G35" s="325">
        <v>115</v>
      </c>
      <c r="H35" s="325" t="s">
        <v>136</v>
      </c>
      <c r="I35" s="325" t="s">
        <v>505</v>
      </c>
      <c r="J35" s="322">
        <v>963.75</v>
      </c>
      <c r="K35" s="322">
        <v>12.85</v>
      </c>
      <c r="L35" s="311" t="s">
        <v>8</v>
      </c>
      <c r="M35" s="190">
        <v>770</v>
      </c>
      <c r="N35" s="191">
        <f>M35/75</f>
        <v>10.266666666666667</v>
      </c>
      <c r="O35" s="190"/>
      <c r="P35" s="191"/>
      <c r="Q35" s="190"/>
      <c r="R35" s="192"/>
      <c r="S35" s="190"/>
      <c r="T35" s="191"/>
      <c r="U35" s="641"/>
      <c r="V35" s="642"/>
      <c r="W35" s="190"/>
      <c r="X35" s="191"/>
      <c r="Y35" s="190"/>
      <c r="Z35" s="191"/>
      <c r="AA35">
        <f>N35*1.35</f>
        <v>13.860000000000001</v>
      </c>
      <c r="AB35">
        <f>AA35*0.76</f>
        <v>10.533600000000002</v>
      </c>
      <c r="AC35" s="158">
        <f>1-N35/AB35</f>
        <v>2.5341130604288553E-2</v>
      </c>
      <c r="AE35" s="237">
        <v>10.27</v>
      </c>
      <c r="AF35" s="245">
        <v>9.6999999999999993</v>
      </c>
      <c r="AG35" s="252">
        <v>10.53</v>
      </c>
      <c r="AH35" s="251">
        <f t="shared" si="6"/>
        <v>9.766</v>
      </c>
      <c r="AI35" s="247">
        <f t="shared" si="7"/>
        <v>10.670399999999999</v>
      </c>
      <c r="AJ35" s="243">
        <v>14.04</v>
      </c>
      <c r="AK35" s="240">
        <v>9.4700000000000006</v>
      </c>
      <c r="AL35" s="244"/>
      <c r="AM35" s="165"/>
      <c r="AN35">
        <v>8.6999999999999993</v>
      </c>
      <c r="AP35">
        <v>12.31</v>
      </c>
    </row>
    <row r="36" spans="1:44" ht="16.5" customHeight="1">
      <c r="A36" s="613"/>
      <c r="B36" s="613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346"/>
      <c r="N36" s="191"/>
      <c r="O36" s="190"/>
      <c r="P36" s="191"/>
      <c r="Q36" s="190"/>
      <c r="R36" s="192"/>
      <c r="S36" s="190"/>
      <c r="T36" s="191"/>
      <c r="U36" s="641"/>
      <c r="V36" s="642"/>
      <c r="W36" s="190"/>
      <c r="X36" s="191"/>
      <c r="Y36" s="190"/>
      <c r="Z36" s="191"/>
      <c r="AC36" s="158"/>
      <c r="AE36" s="237"/>
      <c r="AF36" s="245"/>
      <c r="AG36" s="252"/>
      <c r="AH36" s="251"/>
      <c r="AI36" s="247"/>
      <c r="AJ36" s="243"/>
      <c r="AK36" s="240"/>
      <c r="AL36" s="244"/>
      <c r="AM36" s="165"/>
    </row>
    <row r="37" spans="1:44" ht="15.75" thickBot="1">
      <c r="A37" s="580" t="s">
        <v>507</v>
      </c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654"/>
      <c r="N37" s="624"/>
      <c r="O37" s="623"/>
      <c r="P37" s="624"/>
      <c r="Q37" s="623"/>
      <c r="R37" s="624"/>
      <c r="S37" s="623"/>
      <c r="T37" s="624"/>
      <c r="U37" s="641"/>
      <c r="V37" s="642"/>
      <c r="W37" s="623"/>
      <c r="X37" s="624"/>
      <c r="Y37" s="623"/>
      <c r="Z37" s="624"/>
      <c r="AC37" s="158"/>
      <c r="AE37" s="237"/>
      <c r="AF37" s="245"/>
      <c r="AG37" s="252">
        <f t="shared" si="15"/>
        <v>0</v>
      </c>
      <c r="AH37" s="251"/>
      <c r="AI37" s="247">
        <f t="shared" si="7"/>
        <v>0</v>
      </c>
      <c r="AJ37" s="243"/>
      <c r="AK37" s="240"/>
      <c r="AL37" s="244"/>
      <c r="AM37" s="165"/>
    </row>
    <row r="38" spans="1:44" ht="21" customHeight="1" thickTop="1" thickBot="1">
      <c r="A38" s="594" t="s">
        <v>3</v>
      </c>
      <c r="B38" s="595"/>
      <c r="C38" s="595"/>
      <c r="D38" s="595"/>
      <c r="E38" s="595"/>
      <c r="F38" s="595"/>
      <c r="G38" s="595"/>
      <c r="H38" s="595"/>
      <c r="I38" s="596"/>
      <c r="J38" s="593" t="s">
        <v>5</v>
      </c>
      <c r="K38" s="593"/>
      <c r="L38" s="593"/>
      <c r="M38" s="655"/>
      <c r="N38" s="626"/>
      <c r="O38" s="625"/>
      <c r="P38" s="626"/>
      <c r="Q38" s="625"/>
      <c r="R38" s="626"/>
      <c r="S38" s="625"/>
      <c r="T38" s="626"/>
      <c r="U38" s="641"/>
      <c r="V38" s="642"/>
      <c r="W38" s="625"/>
      <c r="X38" s="626"/>
      <c r="Y38" s="625"/>
      <c r="Z38" s="626"/>
      <c r="AC38" s="158"/>
      <c r="AE38" s="237"/>
      <c r="AF38" s="245"/>
      <c r="AG38" s="252">
        <f t="shared" si="15"/>
        <v>0</v>
      </c>
      <c r="AH38" s="251"/>
      <c r="AI38" s="247">
        <f t="shared" si="7"/>
        <v>0</v>
      </c>
      <c r="AJ38" s="243"/>
      <c r="AK38" s="240"/>
      <c r="AL38" s="244"/>
      <c r="AM38" s="165"/>
    </row>
    <row r="39" spans="1:44" ht="29.25" customHeight="1" thickTop="1" thickBot="1">
      <c r="A39" s="584" t="s">
        <v>28</v>
      </c>
      <c r="B39" s="585"/>
      <c r="C39" s="586"/>
      <c r="D39" s="577" t="s">
        <v>1</v>
      </c>
      <c r="E39" s="577"/>
      <c r="F39" s="96" t="s">
        <v>65</v>
      </c>
      <c r="G39" s="96" t="s">
        <v>82</v>
      </c>
      <c r="H39" s="96" t="s">
        <v>112</v>
      </c>
      <c r="I39" s="96" t="s">
        <v>47</v>
      </c>
      <c r="J39" s="96" t="s">
        <v>96</v>
      </c>
      <c r="K39" s="96" t="s">
        <v>197</v>
      </c>
      <c r="L39" s="97" t="s">
        <v>4</v>
      </c>
      <c r="M39" s="655"/>
      <c r="N39" s="626"/>
      <c r="O39" s="625"/>
      <c r="P39" s="626"/>
      <c r="Q39" s="627"/>
      <c r="R39" s="628"/>
      <c r="S39" s="625"/>
      <c r="T39" s="626"/>
      <c r="U39" s="641"/>
      <c r="V39" s="642"/>
      <c r="W39" s="625"/>
      <c r="X39" s="626"/>
      <c r="Y39" s="625"/>
      <c r="Z39" s="626"/>
      <c r="AC39" s="158"/>
      <c r="AE39" s="237"/>
      <c r="AF39" s="245"/>
      <c r="AG39" s="252">
        <f t="shared" si="15"/>
        <v>0</v>
      </c>
      <c r="AH39" s="251"/>
      <c r="AI39" s="247">
        <f t="shared" si="7"/>
        <v>0</v>
      </c>
      <c r="AJ39" s="243"/>
      <c r="AK39" s="240"/>
      <c r="AL39" s="244"/>
      <c r="AM39" s="165"/>
    </row>
    <row r="40" spans="1:44" ht="15" hidden="1" customHeight="1" thickTop="1" thickBot="1">
      <c r="A40" s="578"/>
      <c r="B40" s="579"/>
      <c r="C40" s="98" t="s">
        <v>43</v>
      </c>
      <c r="D40" s="617" t="s">
        <v>45</v>
      </c>
      <c r="E40" s="617"/>
      <c r="F40" s="99">
        <v>45</v>
      </c>
      <c r="G40" s="99">
        <v>-40</v>
      </c>
      <c r="H40" s="99">
        <v>90</v>
      </c>
      <c r="I40" s="98" t="s">
        <v>44</v>
      </c>
      <c r="J40" s="109"/>
      <c r="K40" s="110"/>
      <c r="L40" s="98" t="s">
        <v>62</v>
      </c>
      <c r="M40" s="655"/>
      <c r="N40" s="626"/>
      <c r="O40" s="625"/>
      <c r="P40" s="626"/>
      <c r="Q40" s="145"/>
      <c r="R40" s="145"/>
      <c r="S40" s="625"/>
      <c r="T40" s="626"/>
      <c r="U40" s="641"/>
      <c r="V40" s="642"/>
      <c r="W40" s="625"/>
      <c r="X40" s="626"/>
      <c r="Y40" s="625"/>
      <c r="Z40" s="626"/>
      <c r="AA40">
        <f>R40*1.44</f>
        <v>0</v>
      </c>
      <c r="AB40">
        <f t="shared" si="5"/>
        <v>0</v>
      </c>
      <c r="AC40" s="158" t="e">
        <f>1-R40/AB40</f>
        <v>#DIV/0!</v>
      </c>
      <c r="AE40" s="237"/>
      <c r="AF40" s="245"/>
      <c r="AG40" s="252">
        <f t="shared" si="15"/>
        <v>0</v>
      </c>
      <c r="AH40" s="251">
        <f t="shared" si="6"/>
        <v>0</v>
      </c>
      <c r="AI40" s="247">
        <f t="shared" si="7"/>
        <v>0</v>
      </c>
      <c r="AJ40" s="243"/>
      <c r="AK40" s="240">
        <f t="shared" si="8"/>
        <v>0</v>
      </c>
      <c r="AL40" s="244">
        <f t="shared" si="9"/>
        <v>0</v>
      </c>
      <c r="AM40" s="165"/>
    </row>
    <row r="41" spans="1:44" ht="15" customHeight="1" thickTop="1" thickBot="1">
      <c r="A41" s="578" t="s">
        <v>196</v>
      </c>
      <c r="B41" s="604"/>
      <c r="C41" s="579"/>
      <c r="D41" s="578" t="s">
        <v>45</v>
      </c>
      <c r="E41" s="579"/>
      <c r="F41" s="99">
        <v>45</v>
      </c>
      <c r="G41" s="99">
        <v>-40</v>
      </c>
      <c r="H41" s="99">
        <v>90</v>
      </c>
      <c r="I41" s="98" t="s">
        <v>44</v>
      </c>
      <c r="J41" s="111">
        <v>355.95</v>
      </c>
      <c r="K41" s="139">
        <v>7.91</v>
      </c>
      <c r="L41" s="98" t="s">
        <v>8</v>
      </c>
      <c r="M41" s="655"/>
      <c r="N41" s="626"/>
      <c r="O41" s="625"/>
      <c r="P41" s="626"/>
      <c r="Q41" s="163">
        <v>209</v>
      </c>
      <c r="R41" s="164">
        <f>Q41/45</f>
        <v>4.6444444444444448</v>
      </c>
      <c r="S41" s="625"/>
      <c r="T41" s="626"/>
      <c r="U41" s="641"/>
      <c r="V41" s="642"/>
      <c r="W41" s="625"/>
      <c r="X41" s="626"/>
      <c r="Y41" s="625"/>
      <c r="Z41" s="626"/>
      <c r="AA41">
        <f>R41*1.44</f>
        <v>6.6880000000000006</v>
      </c>
      <c r="AB41">
        <f t="shared" si="5"/>
        <v>5.0828800000000003</v>
      </c>
      <c r="AC41" s="158">
        <f>1-R41/AB41</f>
        <v>8.6257309941520477E-2</v>
      </c>
      <c r="AE41" s="237">
        <v>3.15</v>
      </c>
      <c r="AF41" s="245">
        <v>4.4000000000000004</v>
      </c>
      <c r="AG41" s="252">
        <f t="shared" si="15"/>
        <v>4.8400000000000007</v>
      </c>
      <c r="AH41" s="251">
        <f t="shared" si="6"/>
        <v>6.0116000000000005</v>
      </c>
      <c r="AI41" s="247">
        <f t="shared" si="7"/>
        <v>4.8411999999999997</v>
      </c>
      <c r="AJ41" s="243">
        <v>6.37</v>
      </c>
      <c r="AK41" s="240">
        <f t="shared" si="8"/>
        <v>4.3560000000000008</v>
      </c>
      <c r="AL41" s="244">
        <f t="shared" si="9"/>
        <v>1.2060000000000008</v>
      </c>
      <c r="AM41" s="165"/>
      <c r="AN41">
        <v>5.49</v>
      </c>
      <c r="AP41">
        <v>6.61</v>
      </c>
      <c r="AR41">
        <v>5.0199999999999996</v>
      </c>
    </row>
    <row r="42" spans="1:44" ht="39" customHeight="1" thickTop="1">
      <c r="A42" s="568" t="s">
        <v>184</v>
      </c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655"/>
      <c r="N42" s="626"/>
      <c r="O42" s="625"/>
      <c r="P42" s="626"/>
      <c r="Q42" s="149"/>
      <c r="R42" s="150"/>
      <c r="S42" s="625"/>
      <c r="T42" s="626"/>
      <c r="U42" s="641"/>
      <c r="V42" s="642"/>
      <c r="W42" s="625"/>
      <c r="X42" s="626"/>
      <c r="Y42" s="625"/>
      <c r="Z42" s="626"/>
      <c r="AC42" s="158"/>
      <c r="AE42" s="237"/>
      <c r="AF42" s="245"/>
      <c r="AG42" s="252">
        <f t="shared" si="15"/>
        <v>0</v>
      </c>
      <c r="AH42" s="251"/>
      <c r="AI42" s="247">
        <f t="shared" si="7"/>
        <v>0</v>
      </c>
      <c r="AJ42" s="243"/>
      <c r="AK42" s="240"/>
      <c r="AL42" s="244"/>
      <c r="AM42" s="165"/>
    </row>
    <row r="43" spans="1:44" ht="21" customHeight="1" thickBot="1">
      <c r="A43" s="571" t="s">
        <v>729</v>
      </c>
      <c r="B43" s="572"/>
      <c r="C43" s="572"/>
      <c r="D43" s="572"/>
      <c r="E43" s="572"/>
      <c r="F43" s="572"/>
      <c r="G43" s="572"/>
      <c r="H43" s="572"/>
      <c r="I43" s="573"/>
      <c r="J43" s="563" t="s">
        <v>5</v>
      </c>
      <c r="K43" s="563"/>
      <c r="L43" s="563"/>
      <c r="M43" s="656"/>
      <c r="N43" s="628"/>
      <c r="O43" s="627"/>
      <c r="P43" s="628"/>
      <c r="Q43" s="151"/>
      <c r="R43" s="152"/>
      <c r="S43" s="625"/>
      <c r="T43" s="626"/>
      <c r="U43" s="641"/>
      <c r="V43" s="642"/>
      <c r="W43" s="627"/>
      <c r="X43" s="628"/>
      <c r="Y43" s="627"/>
      <c r="Z43" s="628"/>
      <c r="AC43" s="158"/>
      <c r="AE43" s="237"/>
      <c r="AF43" s="245"/>
      <c r="AG43" s="252">
        <f t="shared" si="15"/>
        <v>0</v>
      </c>
      <c r="AH43" s="251"/>
      <c r="AI43" s="247">
        <f t="shared" si="7"/>
        <v>0</v>
      </c>
      <c r="AJ43" s="243"/>
      <c r="AK43" s="240"/>
      <c r="AL43" s="244"/>
      <c r="AM43" s="165"/>
    </row>
    <row r="44" spans="1:44" ht="21.75" customHeight="1" thickBot="1">
      <c r="A44" s="565" t="s">
        <v>28</v>
      </c>
      <c r="B44" s="566"/>
      <c r="C44" s="566"/>
      <c r="D44" s="566"/>
      <c r="E44" s="566"/>
      <c r="F44" s="567"/>
      <c r="G44" s="20" t="s">
        <v>1</v>
      </c>
      <c r="H44" s="20" t="s">
        <v>53</v>
      </c>
      <c r="I44" s="20" t="s">
        <v>6</v>
      </c>
      <c r="J44" s="564" t="s">
        <v>114</v>
      </c>
      <c r="K44" s="564"/>
      <c r="L44" s="21" t="s">
        <v>4</v>
      </c>
      <c r="M44" s="145" t="s">
        <v>466</v>
      </c>
      <c r="N44" s="145"/>
      <c r="O44" s="623"/>
      <c r="P44" s="624"/>
      <c r="Q44" s="619"/>
      <c r="R44" s="620"/>
      <c r="S44" s="625"/>
      <c r="T44" s="626"/>
      <c r="U44" s="641"/>
      <c r="V44" s="642"/>
      <c r="W44" s="145" t="s">
        <v>475</v>
      </c>
      <c r="X44" s="145"/>
      <c r="Y44" s="145" t="s">
        <v>480</v>
      </c>
      <c r="Z44" s="145"/>
      <c r="AC44" s="158"/>
      <c r="AE44" s="237"/>
      <c r="AF44" s="245"/>
      <c r="AG44" s="252">
        <f t="shared" si="15"/>
        <v>0</v>
      </c>
      <c r="AH44" s="251"/>
      <c r="AI44" s="247">
        <f t="shared" si="7"/>
        <v>0</v>
      </c>
      <c r="AJ44" s="243"/>
      <c r="AK44" s="240"/>
      <c r="AL44" s="244"/>
      <c r="AM44" s="165"/>
    </row>
    <row r="45" spans="1:44" ht="21.75" customHeight="1" thickBot="1">
      <c r="A45" s="574" t="s">
        <v>115</v>
      </c>
      <c r="B45" s="575"/>
      <c r="C45" s="575"/>
      <c r="D45" s="575"/>
      <c r="E45" s="575"/>
      <c r="F45" s="576"/>
      <c r="G45" s="41">
        <v>30</v>
      </c>
      <c r="H45" s="41">
        <v>60</v>
      </c>
      <c r="I45" s="41">
        <v>1000</v>
      </c>
      <c r="J45" s="569">
        <v>7.15</v>
      </c>
      <c r="K45" s="569"/>
      <c r="L45" s="41" t="s">
        <v>8</v>
      </c>
      <c r="M45" s="145">
        <v>4.9000000000000004</v>
      </c>
      <c r="N45" s="145"/>
      <c r="O45" s="625"/>
      <c r="P45" s="626"/>
      <c r="Q45" s="145">
        <v>3.8</v>
      </c>
      <c r="R45" s="145"/>
      <c r="S45" s="625"/>
      <c r="T45" s="626"/>
      <c r="U45" s="641"/>
      <c r="V45" s="642"/>
      <c r="W45" s="145">
        <v>5</v>
      </c>
      <c r="X45" s="145"/>
      <c r="Y45" s="145">
        <v>5.2</v>
      </c>
      <c r="Z45" s="145"/>
      <c r="AA45">
        <f>Q45*1.44</f>
        <v>5.4719999999999995</v>
      </c>
      <c r="AB45">
        <f t="shared" si="5"/>
        <v>4.1587199999999998</v>
      </c>
      <c r="AC45" s="158">
        <f>1-Q45/AB45</f>
        <v>8.6257309941520477E-2</v>
      </c>
      <c r="AE45" s="237">
        <v>3.51</v>
      </c>
      <c r="AF45" s="245">
        <v>4.9400000000000004</v>
      </c>
      <c r="AG45" s="252">
        <v>5.43</v>
      </c>
      <c r="AH45" s="251">
        <f>SUM(J45*0.76)</f>
        <v>5.4340000000000002</v>
      </c>
      <c r="AI45" s="247">
        <f t="shared" si="7"/>
        <v>5.4340000000000002</v>
      </c>
      <c r="AJ45" s="243">
        <v>7.15</v>
      </c>
      <c r="AK45" s="240">
        <f t="shared" si="8"/>
        <v>4.8869999999999996</v>
      </c>
      <c r="AL45" s="244">
        <f t="shared" si="9"/>
        <v>1.3769999999999998</v>
      </c>
      <c r="AM45" s="165"/>
    </row>
    <row r="46" spans="1:44" ht="21.75" customHeight="1">
      <c r="A46" s="570" t="s">
        <v>761</v>
      </c>
      <c r="B46" s="570"/>
      <c r="C46" s="570"/>
      <c r="D46" s="570"/>
      <c r="E46" s="570"/>
      <c r="F46" s="570"/>
      <c r="G46" s="570"/>
      <c r="H46" s="570"/>
      <c r="I46" s="570"/>
      <c r="J46" s="570"/>
      <c r="K46" s="570"/>
      <c r="L46" s="570"/>
      <c r="M46" s="654"/>
      <c r="N46" s="624"/>
      <c r="O46" s="625"/>
      <c r="P46" s="626"/>
      <c r="Q46" s="147"/>
      <c r="R46" s="148"/>
      <c r="S46" s="625"/>
      <c r="T46" s="626"/>
      <c r="U46" s="641"/>
      <c r="V46" s="642"/>
      <c r="W46" s="623"/>
      <c r="X46" s="624"/>
      <c r="Y46" s="623"/>
      <c r="Z46" s="624"/>
      <c r="AC46" s="158"/>
      <c r="AE46" s="237"/>
      <c r="AF46" s="245"/>
      <c r="AG46" s="252">
        <f t="shared" si="15"/>
        <v>0</v>
      </c>
      <c r="AH46" s="251"/>
      <c r="AI46" s="247">
        <f t="shared" si="7"/>
        <v>0</v>
      </c>
      <c r="AJ46" s="243"/>
      <c r="AK46" s="240"/>
      <c r="AL46" s="244"/>
      <c r="AM46" s="165"/>
    </row>
    <row r="47" spans="1:44" ht="21.75" customHeight="1" thickBot="1">
      <c r="A47" s="560" t="s">
        <v>3</v>
      </c>
      <c r="B47" s="561"/>
      <c r="C47" s="561"/>
      <c r="D47" s="561"/>
      <c r="E47" s="561"/>
      <c r="F47" s="561"/>
      <c r="G47" s="561"/>
      <c r="H47" s="561"/>
      <c r="I47" s="562"/>
      <c r="J47" s="563" t="s">
        <v>5</v>
      </c>
      <c r="K47" s="563"/>
      <c r="L47" s="563"/>
      <c r="M47" s="655"/>
      <c r="N47" s="626"/>
      <c r="O47" s="625"/>
      <c r="P47" s="626"/>
      <c r="Q47" s="149"/>
      <c r="R47" s="150"/>
      <c r="S47" s="625"/>
      <c r="T47" s="626"/>
      <c r="U47" s="641"/>
      <c r="V47" s="642"/>
      <c r="W47" s="625"/>
      <c r="X47" s="626"/>
      <c r="Y47" s="625"/>
      <c r="Z47" s="626"/>
      <c r="AC47" s="158"/>
      <c r="AE47" s="237"/>
      <c r="AF47" s="245"/>
      <c r="AG47" s="252">
        <f t="shared" si="15"/>
        <v>0</v>
      </c>
      <c r="AH47" s="251"/>
      <c r="AI47" s="247">
        <f t="shared" si="7"/>
        <v>0</v>
      </c>
      <c r="AJ47" s="243"/>
      <c r="AK47" s="240"/>
      <c r="AL47" s="244"/>
      <c r="AM47" s="165"/>
    </row>
    <row r="48" spans="1:44" ht="21.75" customHeight="1" thickBot="1">
      <c r="A48" s="565" t="s">
        <v>28</v>
      </c>
      <c r="B48" s="566"/>
      <c r="C48" s="566"/>
      <c r="D48" s="566"/>
      <c r="E48" s="566"/>
      <c r="F48" s="567"/>
      <c r="G48" s="87" t="s">
        <v>1</v>
      </c>
      <c r="H48" s="87" t="s">
        <v>53</v>
      </c>
      <c r="I48" s="87" t="s">
        <v>46</v>
      </c>
      <c r="J48" s="564" t="s">
        <v>186</v>
      </c>
      <c r="K48" s="564"/>
      <c r="L48" s="21" t="s">
        <v>4</v>
      </c>
      <c r="M48" s="655"/>
      <c r="N48" s="626"/>
      <c r="O48" s="625"/>
      <c r="P48" s="626"/>
      <c r="Q48" s="149"/>
      <c r="R48" s="150"/>
      <c r="S48" s="625"/>
      <c r="T48" s="626"/>
      <c r="U48" s="641"/>
      <c r="V48" s="642"/>
      <c r="W48" s="625"/>
      <c r="X48" s="626"/>
      <c r="Y48" s="625"/>
      <c r="Z48" s="626"/>
      <c r="AC48" s="158"/>
      <c r="AE48" s="237"/>
      <c r="AF48" s="245"/>
      <c r="AG48" s="252">
        <f t="shared" si="15"/>
        <v>0</v>
      </c>
      <c r="AH48" s="251"/>
      <c r="AI48" s="247">
        <f t="shared" si="7"/>
        <v>0</v>
      </c>
      <c r="AJ48" s="243"/>
      <c r="AK48" s="240"/>
      <c r="AL48" s="244"/>
      <c r="AM48" s="165"/>
    </row>
    <row r="49" spans="1:45" ht="15" customHeight="1" thickBot="1">
      <c r="A49" s="547" t="s">
        <v>139</v>
      </c>
      <c r="B49" s="548"/>
      <c r="C49" s="548"/>
      <c r="D49" s="548"/>
      <c r="E49" s="548"/>
      <c r="F49" s="549"/>
      <c r="G49" s="19">
        <v>20</v>
      </c>
      <c r="H49" s="19" t="s">
        <v>23</v>
      </c>
      <c r="I49" s="88">
        <v>1.1000000000000001</v>
      </c>
      <c r="J49" s="550">
        <f>SUM(AQ49)</f>
        <v>22.32</v>
      </c>
      <c r="K49" s="550"/>
      <c r="L49" s="19" t="s">
        <v>8</v>
      </c>
      <c r="M49" s="655"/>
      <c r="N49" s="626"/>
      <c r="O49" s="625"/>
      <c r="P49" s="626"/>
      <c r="Q49" s="149"/>
      <c r="R49" s="166">
        <v>17.55</v>
      </c>
      <c r="S49" s="625"/>
      <c r="T49" s="626"/>
      <c r="U49" s="641"/>
      <c r="V49" s="642"/>
      <c r="W49" s="625"/>
      <c r="X49" s="626"/>
      <c r="Y49" s="625"/>
      <c r="Z49" s="626"/>
      <c r="AA49" s="95">
        <f>R49*1.44</f>
        <v>25.271999999999998</v>
      </c>
      <c r="AB49">
        <f t="shared" si="5"/>
        <v>19.206720000000001</v>
      </c>
      <c r="AC49" s="158">
        <f>1-R49/AB49</f>
        <v>8.6257309941520477E-2</v>
      </c>
      <c r="AE49" s="237">
        <v>7.8</v>
      </c>
      <c r="AF49" s="245">
        <v>11.7</v>
      </c>
      <c r="AG49" s="252">
        <f t="shared" si="15"/>
        <v>12.870000000000001</v>
      </c>
      <c r="AH49" s="251">
        <f>SUM(J49*0.76)</f>
        <v>16.963200000000001</v>
      </c>
      <c r="AI49" s="247">
        <f t="shared" si="7"/>
        <v>12.874400000000001</v>
      </c>
      <c r="AJ49" s="243">
        <v>16.940000000000001</v>
      </c>
      <c r="AK49" s="240">
        <f t="shared" si="8"/>
        <v>11.583000000000002</v>
      </c>
      <c r="AL49" s="244">
        <f t="shared" si="9"/>
        <v>3.7830000000000021</v>
      </c>
      <c r="AM49" s="165"/>
      <c r="AN49">
        <v>11.7</v>
      </c>
      <c r="AO49">
        <v>15.5</v>
      </c>
      <c r="AQ49" s="165">
        <f>SUM(AO49*1.44)</f>
        <v>22.32</v>
      </c>
      <c r="AS49" s="165">
        <f>SUM(AQ49*0.76)</f>
        <v>16.963200000000001</v>
      </c>
    </row>
    <row r="50" spans="1:45" ht="13.5" customHeight="1" thickBot="1">
      <c r="A50" s="551" t="s">
        <v>178</v>
      </c>
      <c r="B50" s="552"/>
      <c r="C50" s="552"/>
      <c r="D50" s="552"/>
      <c r="E50" s="552"/>
      <c r="F50" s="553"/>
      <c r="G50" s="71">
        <v>20</v>
      </c>
      <c r="H50" s="71" t="s">
        <v>23</v>
      </c>
      <c r="I50" s="89">
        <v>1.1200000000000001</v>
      </c>
      <c r="J50" s="550">
        <f>SUM(AQ50)</f>
        <v>24.48</v>
      </c>
      <c r="K50" s="550"/>
      <c r="L50" s="71" t="s">
        <v>8</v>
      </c>
      <c r="M50" s="655"/>
      <c r="N50" s="626"/>
      <c r="O50" s="625"/>
      <c r="P50" s="626"/>
      <c r="Q50" s="149"/>
      <c r="R50" s="166">
        <v>17.82</v>
      </c>
      <c r="S50" s="625"/>
      <c r="T50" s="626"/>
      <c r="U50" s="641"/>
      <c r="V50" s="642"/>
      <c r="W50" s="625"/>
      <c r="X50" s="626"/>
      <c r="Y50" s="625"/>
      <c r="Z50" s="626"/>
      <c r="AA50" s="95">
        <f>R50*1.44</f>
        <v>25.660799999999998</v>
      </c>
      <c r="AB50">
        <f t="shared" si="5"/>
        <v>19.502208</v>
      </c>
      <c r="AC50" s="158">
        <f>1-R50/AB50</f>
        <v>8.6257309941520477E-2</v>
      </c>
      <c r="AE50" s="237">
        <v>8.56</v>
      </c>
      <c r="AF50" s="245">
        <v>14.02</v>
      </c>
      <c r="AG50" s="252">
        <f t="shared" si="15"/>
        <v>15.422000000000001</v>
      </c>
      <c r="AH50" s="251">
        <f>SUM(J50*0.76)</f>
        <v>18.604800000000001</v>
      </c>
      <c r="AI50" s="247">
        <f t="shared" si="7"/>
        <v>15.420399999999999</v>
      </c>
      <c r="AJ50" s="243">
        <v>20.29</v>
      </c>
      <c r="AK50" s="240">
        <f t="shared" si="8"/>
        <v>13.879800000000001</v>
      </c>
      <c r="AL50" s="244">
        <f t="shared" si="9"/>
        <v>5.3198000000000008</v>
      </c>
      <c r="AM50" s="165"/>
      <c r="AN50">
        <v>14.02</v>
      </c>
      <c r="AO50">
        <v>17</v>
      </c>
      <c r="AQ50" s="165">
        <f t="shared" ref="AQ50:AQ51" si="16">SUM(AO50*1.44)</f>
        <v>24.48</v>
      </c>
      <c r="AS50" s="165">
        <f t="shared" ref="AS50:AS51" si="17">SUM(AQ50*0.76)</f>
        <v>18.604800000000001</v>
      </c>
    </row>
    <row r="51" spans="1:45" ht="13.5" customHeight="1" thickBot="1">
      <c r="A51" s="547" t="s">
        <v>140</v>
      </c>
      <c r="B51" s="548"/>
      <c r="C51" s="548"/>
      <c r="D51" s="548"/>
      <c r="E51" s="548"/>
      <c r="F51" s="549"/>
      <c r="G51" s="70">
        <v>20</v>
      </c>
      <c r="H51" s="70" t="s">
        <v>23</v>
      </c>
      <c r="I51" s="88">
        <v>1.0920000000000001</v>
      </c>
      <c r="J51" s="550">
        <f>SUM(AQ51)</f>
        <v>23.04</v>
      </c>
      <c r="K51" s="550"/>
      <c r="L51" s="70" t="s">
        <v>8</v>
      </c>
      <c r="M51" s="655"/>
      <c r="N51" s="626"/>
      <c r="O51" s="625"/>
      <c r="P51" s="626"/>
      <c r="Q51" s="149"/>
      <c r="R51" s="166">
        <v>18.900000000000002</v>
      </c>
      <c r="S51" s="625"/>
      <c r="T51" s="626"/>
      <c r="U51" s="641"/>
      <c r="V51" s="642"/>
      <c r="W51" s="625"/>
      <c r="X51" s="626"/>
      <c r="Y51" s="625"/>
      <c r="Z51" s="626"/>
      <c r="AA51" s="95">
        <f>R51*1.44</f>
        <v>27.216000000000001</v>
      </c>
      <c r="AB51">
        <f t="shared" si="5"/>
        <v>20.684160000000002</v>
      </c>
      <c r="AC51" s="158">
        <f>1-R51/AB51</f>
        <v>8.6257309941520477E-2</v>
      </c>
      <c r="AE51" s="237">
        <v>9.92</v>
      </c>
      <c r="AF51" s="245">
        <v>13.92</v>
      </c>
      <c r="AG51" s="252">
        <f t="shared" si="15"/>
        <v>15.312000000000001</v>
      </c>
      <c r="AH51" s="251">
        <f>SUM(J51*0.76)</f>
        <v>17.510400000000001</v>
      </c>
      <c r="AI51" s="247">
        <f t="shared" si="7"/>
        <v>15.3064</v>
      </c>
      <c r="AJ51" s="243">
        <v>20.14</v>
      </c>
      <c r="AK51" s="240">
        <f t="shared" si="8"/>
        <v>13.780800000000001</v>
      </c>
      <c r="AL51" s="244">
        <f t="shared" si="9"/>
        <v>3.8608000000000011</v>
      </c>
      <c r="AM51" s="165"/>
      <c r="AN51">
        <v>13.92</v>
      </c>
      <c r="AO51">
        <v>16</v>
      </c>
      <c r="AQ51" s="165">
        <f t="shared" si="16"/>
        <v>23.04</v>
      </c>
      <c r="AS51" s="165">
        <f t="shared" si="17"/>
        <v>17.510400000000001</v>
      </c>
    </row>
    <row r="52" spans="1:45" ht="13.5" customHeight="1" thickBot="1">
      <c r="A52" s="551" t="s">
        <v>759</v>
      </c>
      <c r="B52" s="552"/>
      <c r="C52" s="552"/>
      <c r="D52" s="552"/>
      <c r="E52" s="552"/>
      <c r="F52" s="553"/>
      <c r="G52" s="71">
        <v>20</v>
      </c>
      <c r="H52" s="71" t="s">
        <v>760</v>
      </c>
      <c r="I52" s="89">
        <v>1.1000000000000001</v>
      </c>
      <c r="J52" s="550">
        <f t="shared" ref="J52:J55" si="18">SUM(AQ52)</f>
        <v>24.557199999999998</v>
      </c>
      <c r="K52" s="550"/>
      <c r="L52" s="71" t="s">
        <v>8</v>
      </c>
      <c r="M52" s="655"/>
      <c r="N52" s="626"/>
      <c r="O52" s="625"/>
      <c r="P52" s="626"/>
      <c r="Q52" s="149"/>
      <c r="R52" s="166"/>
      <c r="S52" s="625"/>
      <c r="T52" s="626"/>
      <c r="U52" s="641"/>
      <c r="V52" s="642"/>
      <c r="W52" s="625"/>
      <c r="X52" s="626"/>
      <c r="Y52" s="625"/>
      <c r="Z52" s="626"/>
      <c r="AA52" s="95"/>
      <c r="AC52" s="158"/>
      <c r="AE52" s="237"/>
      <c r="AF52" s="245"/>
      <c r="AG52" s="252"/>
      <c r="AH52" s="251"/>
      <c r="AI52" s="247"/>
      <c r="AJ52" s="243"/>
      <c r="AK52" s="240"/>
      <c r="AL52" s="244"/>
      <c r="AM52" s="165"/>
      <c r="AN52">
        <v>16.82</v>
      </c>
      <c r="AQ52" s="165">
        <f>AN52*1.46</f>
        <v>24.557199999999998</v>
      </c>
      <c r="AS52" s="165"/>
    </row>
    <row r="53" spans="1:45" ht="13.5" customHeight="1" thickBot="1">
      <c r="A53" s="547" t="s">
        <v>762</v>
      </c>
      <c r="B53" s="548"/>
      <c r="C53" s="548"/>
      <c r="D53" s="548"/>
      <c r="E53" s="548"/>
      <c r="F53" s="549"/>
      <c r="G53" s="70">
        <v>20</v>
      </c>
      <c r="H53" s="70" t="s">
        <v>760</v>
      </c>
      <c r="I53" s="88">
        <v>1.05</v>
      </c>
      <c r="J53" s="550">
        <f t="shared" si="18"/>
        <v>24.09</v>
      </c>
      <c r="K53" s="550"/>
      <c r="L53" s="70" t="s">
        <v>8</v>
      </c>
      <c r="M53" s="655"/>
      <c r="N53" s="626"/>
      <c r="O53" s="625"/>
      <c r="P53" s="626"/>
      <c r="Q53" s="149"/>
      <c r="R53" s="166"/>
      <c r="S53" s="625"/>
      <c r="T53" s="626"/>
      <c r="U53" s="641"/>
      <c r="V53" s="642"/>
      <c r="W53" s="625"/>
      <c r="X53" s="626"/>
      <c r="Y53" s="625"/>
      <c r="Z53" s="626"/>
      <c r="AA53" s="95"/>
      <c r="AC53" s="158"/>
      <c r="AE53" s="237"/>
      <c r="AF53" s="245"/>
      <c r="AG53" s="252"/>
      <c r="AH53" s="251"/>
      <c r="AI53" s="247"/>
      <c r="AJ53" s="243"/>
      <c r="AK53" s="240"/>
      <c r="AL53" s="244"/>
      <c r="AM53" s="165"/>
      <c r="AN53">
        <v>16.5</v>
      </c>
      <c r="AQ53" s="165">
        <f t="shared" ref="AQ53:AQ55" si="19">AN53*1.46</f>
        <v>24.09</v>
      </c>
      <c r="AS53" s="165"/>
    </row>
    <row r="54" spans="1:45" ht="13.5" customHeight="1" thickBot="1">
      <c r="A54" s="551" t="s">
        <v>763</v>
      </c>
      <c r="B54" s="552"/>
      <c r="C54" s="552"/>
      <c r="D54" s="552"/>
      <c r="E54" s="552"/>
      <c r="F54" s="553"/>
      <c r="G54" s="71">
        <v>20</v>
      </c>
      <c r="H54" s="71" t="s">
        <v>760</v>
      </c>
      <c r="I54" s="89">
        <v>1.03</v>
      </c>
      <c r="J54" s="550">
        <f t="shared" si="18"/>
        <v>36.792000000000002</v>
      </c>
      <c r="K54" s="550"/>
      <c r="L54" s="71" t="s">
        <v>8</v>
      </c>
      <c r="M54" s="655"/>
      <c r="N54" s="626"/>
      <c r="O54" s="625"/>
      <c r="P54" s="626"/>
      <c r="Q54" s="149"/>
      <c r="R54" s="166"/>
      <c r="S54" s="625"/>
      <c r="T54" s="626"/>
      <c r="U54" s="641"/>
      <c r="V54" s="642"/>
      <c r="W54" s="625"/>
      <c r="X54" s="626"/>
      <c r="Y54" s="625"/>
      <c r="Z54" s="626"/>
      <c r="AA54" s="95"/>
      <c r="AC54" s="158"/>
      <c r="AE54" s="237"/>
      <c r="AF54" s="245"/>
      <c r="AG54" s="252"/>
      <c r="AH54" s="251"/>
      <c r="AI54" s="247"/>
      <c r="AJ54" s="243"/>
      <c r="AK54" s="240"/>
      <c r="AL54" s="244"/>
      <c r="AM54" s="165"/>
      <c r="AN54">
        <v>25.2</v>
      </c>
      <c r="AQ54" s="165">
        <f t="shared" si="19"/>
        <v>36.792000000000002</v>
      </c>
      <c r="AS54" s="165"/>
    </row>
    <row r="55" spans="1:45" ht="13.5" customHeight="1" thickBot="1">
      <c r="A55" s="547" t="s">
        <v>764</v>
      </c>
      <c r="B55" s="548"/>
      <c r="C55" s="548"/>
      <c r="D55" s="548"/>
      <c r="E55" s="548"/>
      <c r="F55" s="549"/>
      <c r="G55" s="70">
        <v>20</v>
      </c>
      <c r="H55" s="70" t="s">
        <v>760</v>
      </c>
      <c r="I55" s="88">
        <v>0.96</v>
      </c>
      <c r="J55" s="550">
        <f t="shared" si="18"/>
        <v>42.486000000000004</v>
      </c>
      <c r="K55" s="550"/>
      <c r="L55" s="70" t="s">
        <v>8</v>
      </c>
      <c r="M55" s="655"/>
      <c r="N55" s="626"/>
      <c r="O55" s="625"/>
      <c r="P55" s="626"/>
      <c r="Q55" s="149"/>
      <c r="R55" s="166"/>
      <c r="S55" s="625"/>
      <c r="T55" s="626"/>
      <c r="U55" s="641"/>
      <c r="V55" s="642"/>
      <c r="W55" s="625"/>
      <c r="X55" s="626"/>
      <c r="Y55" s="625"/>
      <c r="Z55" s="626"/>
      <c r="AA55" s="95"/>
      <c r="AC55" s="158"/>
      <c r="AE55" s="237"/>
      <c r="AF55" s="245"/>
      <c r="AG55" s="252"/>
      <c r="AH55" s="251"/>
      <c r="AI55" s="247"/>
      <c r="AJ55" s="243"/>
      <c r="AK55" s="240"/>
      <c r="AL55" s="244"/>
      <c r="AM55" s="165"/>
      <c r="AN55">
        <v>29.1</v>
      </c>
      <c r="AQ55" s="165">
        <f t="shared" si="19"/>
        <v>42.486000000000004</v>
      </c>
      <c r="AS55" s="165"/>
    </row>
    <row r="56" spans="1:45" ht="15">
      <c r="A56" s="8" t="s">
        <v>66</v>
      </c>
      <c r="C56" s="8" t="s">
        <v>79</v>
      </c>
      <c r="M56" s="655"/>
      <c r="N56" s="626"/>
      <c r="O56" s="625"/>
      <c r="P56" s="626"/>
      <c r="Q56" s="149"/>
      <c r="R56" s="150"/>
      <c r="S56" s="625"/>
      <c r="T56" s="626"/>
      <c r="U56" s="641"/>
      <c r="V56" s="642"/>
      <c r="W56" s="625"/>
      <c r="X56" s="626"/>
      <c r="Y56" s="625"/>
      <c r="Z56" s="626"/>
      <c r="AE56" s="237"/>
      <c r="AF56" s="245"/>
      <c r="AG56" s="252">
        <f t="shared" si="15"/>
        <v>0</v>
      </c>
      <c r="AH56" s="250"/>
      <c r="AI56" s="247">
        <f t="shared" si="7"/>
        <v>0</v>
      </c>
      <c r="AJ56" s="243"/>
      <c r="AK56" s="240"/>
      <c r="AL56" s="244"/>
    </row>
    <row r="57" spans="1:45" ht="15">
      <c r="A57" s="8" t="s">
        <v>185</v>
      </c>
      <c r="M57" s="656"/>
      <c r="N57" s="628"/>
      <c r="O57" s="627"/>
      <c r="P57" s="628"/>
      <c r="Q57" s="151"/>
      <c r="R57" s="152"/>
      <c r="S57" s="627"/>
      <c r="T57" s="628"/>
      <c r="U57" s="643"/>
      <c r="V57" s="644"/>
      <c r="W57" s="627"/>
      <c r="X57" s="628"/>
      <c r="Y57" s="627"/>
      <c r="Z57" s="628"/>
      <c r="AE57" s="237"/>
      <c r="AF57" s="245"/>
      <c r="AG57" s="252">
        <f t="shared" si="15"/>
        <v>0</v>
      </c>
      <c r="AH57" s="250"/>
      <c r="AI57" s="247">
        <f t="shared" si="7"/>
        <v>0</v>
      </c>
      <c r="AJ57" s="243"/>
      <c r="AK57" s="240"/>
      <c r="AL57" s="244"/>
    </row>
  </sheetData>
  <sheetProtection password="CC4F" sheet="1" objects="1" scenarios="1"/>
  <mergeCells count="87">
    <mergeCell ref="W37:X43"/>
    <mergeCell ref="Y37:Z43"/>
    <mergeCell ref="M11:N12"/>
    <mergeCell ref="O11:P12"/>
    <mergeCell ref="W11:Z12"/>
    <mergeCell ref="S26:T33"/>
    <mergeCell ref="U26:V57"/>
    <mergeCell ref="W26:Z33"/>
    <mergeCell ref="M37:N43"/>
    <mergeCell ref="O37:P43"/>
    <mergeCell ref="O44:P57"/>
    <mergeCell ref="Q44:R44"/>
    <mergeCell ref="M46:N57"/>
    <mergeCell ref="W46:X57"/>
    <mergeCell ref="Y46:Z57"/>
    <mergeCell ref="Q37:R39"/>
    <mergeCell ref="S37:T57"/>
    <mergeCell ref="M3:P3"/>
    <mergeCell ref="Q4:R4"/>
    <mergeCell ref="S4:T4"/>
    <mergeCell ref="U4:V4"/>
    <mergeCell ref="W4:X4"/>
    <mergeCell ref="Y4:Z4"/>
    <mergeCell ref="O4:P4"/>
    <mergeCell ref="M4:N4"/>
    <mergeCell ref="M1:Q1"/>
    <mergeCell ref="A11:C11"/>
    <mergeCell ref="A12:C12"/>
    <mergeCell ref="A41:C41"/>
    <mergeCell ref="A21:C21"/>
    <mergeCell ref="A13:C13"/>
    <mergeCell ref="A14:C14"/>
    <mergeCell ref="A22:C22"/>
    <mergeCell ref="A27:I27"/>
    <mergeCell ref="D41:E41"/>
    <mergeCell ref="A31:B31"/>
    <mergeCell ref="A34:C34"/>
    <mergeCell ref="A35:C35"/>
    <mergeCell ref="A36:L36"/>
    <mergeCell ref="J27:L27"/>
    <mergeCell ref="D40:E40"/>
    <mergeCell ref="A30:B30"/>
    <mergeCell ref="A2:L2"/>
    <mergeCell ref="D39:E39"/>
    <mergeCell ref="A40:B40"/>
    <mergeCell ref="J3:L3"/>
    <mergeCell ref="A37:L37"/>
    <mergeCell ref="A33:C33"/>
    <mergeCell ref="A39:C39"/>
    <mergeCell ref="A26:L26"/>
    <mergeCell ref="A28:C28"/>
    <mergeCell ref="A29:C29"/>
    <mergeCell ref="A32:C32"/>
    <mergeCell ref="J38:L38"/>
    <mergeCell ref="A38:I38"/>
    <mergeCell ref="A3:I3"/>
    <mergeCell ref="A5:L5"/>
    <mergeCell ref="A4:C4"/>
    <mergeCell ref="A46:L46"/>
    <mergeCell ref="J44:K44"/>
    <mergeCell ref="A43:I43"/>
    <mergeCell ref="A44:F44"/>
    <mergeCell ref="A45:F45"/>
    <mergeCell ref="A24:C24"/>
    <mergeCell ref="A25:C25"/>
    <mergeCell ref="A23:C23"/>
    <mergeCell ref="J51:K51"/>
    <mergeCell ref="J50:K50"/>
    <mergeCell ref="A50:F50"/>
    <mergeCell ref="A47:I47"/>
    <mergeCell ref="J47:L47"/>
    <mergeCell ref="J48:K48"/>
    <mergeCell ref="A51:F51"/>
    <mergeCell ref="A48:F48"/>
    <mergeCell ref="A49:F49"/>
    <mergeCell ref="A42:L42"/>
    <mergeCell ref="J45:K45"/>
    <mergeCell ref="J43:L43"/>
    <mergeCell ref="J49:K49"/>
    <mergeCell ref="A55:F55"/>
    <mergeCell ref="J55:K55"/>
    <mergeCell ref="A52:F52"/>
    <mergeCell ref="J52:K52"/>
    <mergeCell ref="A53:F53"/>
    <mergeCell ref="J53:K53"/>
    <mergeCell ref="A54:F54"/>
    <mergeCell ref="J54:K54"/>
  </mergeCells>
  <pageMargins left="0.39370078740157483" right="0.39370078740157483" top="0.39370078740157483" bottom="0.39370078740157483" header="0.31496062992125984" footer="0.31496062992125984"/>
  <pageSetup paperSize="9" orientation="portrait" r:id="rId1"/>
  <headerFooter>
    <oddHeader>&amp;L&amp;G&amp;R&amp;"Arial Cyr,полужирный курсив"&amp;9 02160, Украина
 г. Киев, ул. Вискозная, 17
 тел.: 503-77-88
 www.stalex.ua</oddHeader>
  </headerFooter>
  <rowBreaks count="1" manualBreakCount="1">
    <brk id="57" max="37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BD150"/>
  <sheetViews>
    <sheetView view="pageBreakPreview" topLeftCell="A7" zoomScaleNormal="110" zoomScaleSheetLayoutView="100" zoomScalePageLayoutView="110" workbookViewId="0">
      <selection activeCell="G21" sqref="G21:K21"/>
    </sheetView>
  </sheetViews>
  <sheetFormatPr defaultRowHeight="12.75" outlineLevelCol="1"/>
  <cols>
    <col min="1" max="1" width="6.85546875" customWidth="1"/>
    <col min="2" max="2" width="9.85546875" customWidth="1"/>
    <col min="3" max="3" width="7.140625" customWidth="1"/>
    <col min="4" max="4" width="6.28515625" customWidth="1"/>
    <col min="5" max="5" width="5.5703125" customWidth="1"/>
    <col min="6" max="6" width="6.42578125" customWidth="1"/>
    <col min="7" max="7" width="10.140625" customWidth="1"/>
    <col min="8" max="8" width="7" customWidth="1"/>
    <col min="9" max="9" width="9.28515625" customWidth="1"/>
    <col min="10" max="10" width="11.28515625" customWidth="1"/>
    <col min="11" max="11" width="9.7109375" customWidth="1"/>
    <col min="12" max="12" width="12.42578125" customWidth="1"/>
    <col min="13" max="19" width="2.42578125" hidden="1" customWidth="1" outlineLevel="1"/>
    <col min="20" max="22" width="15" hidden="1" customWidth="1" outlineLevel="1"/>
    <col min="23" max="23" width="11.5703125" hidden="1" customWidth="1" outlineLevel="1"/>
    <col min="24" max="27" width="9.140625" hidden="1" customWidth="1" outlineLevel="1"/>
    <col min="28" max="28" width="9.140625" hidden="1" customWidth="1" outlineLevel="1" collapsed="1"/>
    <col min="29" max="30" width="9.140625" hidden="1" customWidth="1" outlineLevel="1"/>
    <col min="31" max="31" width="12.42578125" hidden="1" customWidth="1" outlineLevel="1"/>
    <col min="32" max="35" width="9.140625" hidden="1" customWidth="1" outlineLevel="1"/>
    <col min="36" max="36" width="9.140625" hidden="1" customWidth="1" outlineLevel="1" collapsed="1"/>
    <col min="37" max="40" width="9.140625" hidden="1" customWidth="1" outlineLevel="1"/>
    <col min="41" max="41" width="14.5703125" hidden="1" customWidth="1" outlineLevel="1"/>
    <col min="42" max="44" width="9.140625" hidden="1" customWidth="1" outlineLevel="1"/>
    <col min="45" max="45" width="9.140625" hidden="1" customWidth="1"/>
    <col min="46" max="48" width="11.7109375" hidden="1" customWidth="1"/>
    <col min="49" max="52" width="10.7109375" hidden="1" customWidth="1"/>
    <col min="53" max="53" width="13.140625" hidden="1" customWidth="1"/>
    <col min="54" max="54" width="10.28515625" hidden="1" customWidth="1"/>
    <col min="55" max="56" width="9.140625" hidden="1" customWidth="1"/>
  </cols>
  <sheetData>
    <row r="1" spans="1:54" ht="15" customHeight="1" thickBot="1">
      <c r="A1" s="13"/>
      <c r="B1" s="2"/>
      <c r="C1" s="2"/>
      <c r="D1" s="1"/>
      <c r="E1" s="2"/>
      <c r="F1" s="2"/>
      <c r="G1" s="7"/>
      <c r="H1" s="7"/>
      <c r="I1" s="7"/>
      <c r="J1" s="7"/>
      <c r="K1" s="7"/>
      <c r="L1" s="3"/>
    </row>
    <row r="2" spans="1:54" ht="24.75" customHeight="1">
      <c r="A2" s="677" t="s">
        <v>117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9"/>
      <c r="P2" t="s">
        <v>481</v>
      </c>
    </row>
    <row r="3" spans="1:54" ht="8.25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T3" s="237" t="s">
        <v>552</v>
      </c>
      <c r="U3" s="237" t="s">
        <v>551</v>
      </c>
      <c r="V3" s="283" t="s">
        <v>572</v>
      </c>
      <c r="W3" s="278" t="s">
        <v>571</v>
      </c>
      <c r="X3" s="279" t="s">
        <v>569</v>
      </c>
      <c r="Y3" s="279"/>
      <c r="Z3" s="281" t="s">
        <v>506</v>
      </c>
      <c r="AA3" s="280" t="s">
        <v>573</v>
      </c>
      <c r="AB3" s="347" t="s">
        <v>634</v>
      </c>
      <c r="AC3" s="347" t="s">
        <v>633</v>
      </c>
      <c r="AD3" s="347" t="s">
        <v>506</v>
      </c>
      <c r="AE3" s="347" t="s">
        <v>553</v>
      </c>
      <c r="AF3" s="348" t="s">
        <v>635</v>
      </c>
    </row>
    <row r="4" spans="1:54" ht="20.25" customHeight="1" thickBot="1">
      <c r="A4" s="666" t="s">
        <v>2</v>
      </c>
      <c r="B4" s="666"/>
      <c r="C4" s="666" t="s">
        <v>3</v>
      </c>
      <c r="D4" s="666"/>
      <c r="E4" s="666"/>
      <c r="F4" s="666"/>
      <c r="G4" s="563"/>
      <c r="H4" s="563"/>
      <c r="I4" s="563"/>
      <c r="J4" s="563"/>
      <c r="K4" s="563"/>
      <c r="L4" s="563"/>
      <c r="T4" s="237"/>
      <c r="U4" s="237"/>
      <c r="V4" s="237"/>
      <c r="W4" s="276"/>
      <c r="X4" s="276"/>
      <c r="Y4" s="289" t="s">
        <v>574</v>
      </c>
      <c r="Z4" s="276"/>
      <c r="AA4" s="145"/>
      <c r="AB4" s="347"/>
      <c r="AC4" s="347"/>
      <c r="AD4" s="347"/>
      <c r="AE4" s="347"/>
    </row>
    <row r="5" spans="1:54" ht="29.25" customHeight="1" thickBot="1">
      <c r="A5" s="601" t="s">
        <v>21</v>
      </c>
      <c r="B5" s="603"/>
      <c r="C5" s="667" t="s">
        <v>0</v>
      </c>
      <c r="D5" s="667" t="s">
        <v>1</v>
      </c>
      <c r="E5" s="667" t="s">
        <v>20</v>
      </c>
      <c r="F5" s="667" t="s">
        <v>7</v>
      </c>
      <c r="G5" s="601" t="s">
        <v>768</v>
      </c>
      <c r="H5" s="602"/>
      <c r="I5" s="602"/>
      <c r="J5" s="602"/>
      <c r="K5" s="603"/>
      <c r="L5" s="660" t="s">
        <v>4</v>
      </c>
      <c r="M5" s="141" t="s">
        <v>468</v>
      </c>
      <c r="N5" s="141" t="s">
        <v>469</v>
      </c>
      <c r="P5" t="s">
        <v>484</v>
      </c>
      <c r="Q5" t="s">
        <v>483</v>
      </c>
      <c r="R5" t="s">
        <v>482</v>
      </c>
      <c r="T5" s="237"/>
      <c r="U5" s="237"/>
      <c r="V5" s="237"/>
      <c r="W5" s="276"/>
      <c r="X5" s="276"/>
      <c r="Y5" s="276"/>
      <c r="Z5" s="276"/>
      <c r="AA5" s="145"/>
      <c r="AB5" s="347"/>
      <c r="AC5" s="347"/>
      <c r="AD5" s="347"/>
      <c r="AE5" s="347"/>
      <c r="AK5" s="347" t="s">
        <v>647</v>
      </c>
      <c r="AL5" s="347" t="s">
        <v>551</v>
      </c>
      <c r="AM5" s="347" t="s">
        <v>506</v>
      </c>
      <c r="AN5" s="347"/>
      <c r="AO5" s="347" t="s">
        <v>648</v>
      </c>
      <c r="AP5" s="347" t="s">
        <v>614</v>
      </c>
      <c r="AQ5" s="347" t="s">
        <v>558</v>
      </c>
      <c r="AR5" s="347" t="s">
        <v>614</v>
      </c>
      <c r="AT5" s="565" t="s">
        <v>661</v>
      </c>
      <c r="AU5" s="566"/>
      <c r="AV5" s="566"/>
      <c r="AW5" s="364"/>
      <c r="AX5" s="364"/>
      <c r="AY5" s="364"/>
      <c r="AZ5" s="364"/>
      <c r="BA5" s="364"/>
      <c r="BB5" s="364"/>
    </row>
    <row r="6" spans="1:54" ht="29.25" customHeight="1" thickBot="1">
      <c r="A6" s="663"/>
      <c r="B6" s="665"/>
      <c r="C6" s="668"/>
      <c r="D6" s="668"/>
      <c r="E6" s="668"/>
      <c r="F6" s="668"/>
      <c r="G6" s="663"/>
      <c r="H6" s="664"/>
      <c r="I6" s="664"/>
      <c r="J6" s="664"/>
      <c r="K6" s="665"/>
      <c r="L6" s="661"/>
      <c r="M6" s="354"/>
      <c r="N6" s="354"/>
      <c r="T6" s="237"/>
      <c r="U6" s="237"/>
      <c r="V6" s="237"/>
      <c r="W6" s="276"/>
      <c r="X6" s="276"/>
      <c r="Y6" s="276"/>
      <c r="Z6" s="276"/>
      <c r="AA6" s="145"/>
      <c r="AB6" s="347"/>
      <c r="AC6" s="347"/>
      <c r="AD6" s="347"/>
      <c r="AE6" s="347"/>
      <c r="AK6" s="347"/>
      <c r="AL6" s="347" t="s">
        <v>558</v>
      </c>
      <c r="AM6" s="347"/>
      <c r="AN6" s="347"/>
      <c r="AO6" s="347"/>
      <c r="AP6" s="347"/>
      <c r="AT6" s="565" t="s">
        <v>656</v>
      </c>
      <c r="AU6" s="566"/>
      <c r="AV6" s="566"/>
      <c r="AW6" s="364" t="s">
        <v>495</v>
      </c>
      <c r="AX6" s="364" t="s">
        <v>662</v>
      </c>
      <c r="AY6" s="364" t="s">
        <v>584</v>
      </c>
      <c r="AZ6" s="364" t="s">
        <v>663</v>
      </c>
      <c r="BA6" s="364" t="s">
        <v>664</v>
      </c>
      <c r="BB6" s="364" t="s">
        <v>614</v>
      </c>
    </row>
    <row r="7" spans="1:54" ht="4.1500000000000004" customHeight="1" thickBot="1">
      <c r="A7" s="670"/>
      <c r="B7" s="671"/>
      <c r="C7" s="669"/>
      <c r="D7" s="669"/>
      <c r="E7" s="669"/>
      <c r="F7" s="669"/>
      <c r="G7" s="663"/>
      <c r="H7" s="664"/>
      <c r="I7" s="664"/>
      <c r="J7" s="664"/>
      <c r="K7" s="665"/>
      <c r="L7" s="662"/>
      <c r="M7" s="354"/>
      <c r="N7" s="354"/>
      <c r="T7" s="237"/>
      <c r="U7" s="237"/>
      <c r="V7" s="237"/>
      <c r="W7" s="276"/>
      <c r="X7" s="276"/>
      <c r="Y7" s="276"/>
      <c r="Z7" s="276"/>
      <c r="AA7" s="145"/>
      <c r="AB7" s="347"/>
      <c r="AC7" s="347"/>
      <c r="AD7" s="347"/>
      <c r="AE7" s="347"/>
      <c r="AK7" s="347"/>
      <c r="AL7" s="347"/>
      <c r="AM7" s="347"/>
      <c r="AN7" s="347"/>
      <c r="AO7" s="347"/>
      <c r="AP7" s="347"/>
      <c r="AT7" s="360" t="s">
        <v>657</v>
      </c>
      <c r="AU7" s="360" t="s">
        <v>658</v>
      </c>
      <c r="AV7" s="361" t="s">
        <v>659</v>
      </c>
      <c r="AW7" s="364"/>
      <c r="AX7" s="364"/>
      <c r="AY7" s="364"/>
      <c r="AZ7" s="364"/>
      <c r="BA7" s="364" t="s">
        <v>665</v>
      </c>
      <c r="BB7" s="364"/>
    </row>
    <row r="8" spans="1:54" ht="20.45" customHeight="1" thickBot="1">
      <c r="A8" s="539" t="s">
        <v>649</v>
      </c>
      <c r="B8" s="540"/>
      <c r="C8" s="77">
        <v>10</v>
      </c>
      <c r="D8" s="52">
        <v>1250</v>
      </c>
      <c r="E8" s="52">
        <v>2500</v>
      </c>
      <c r="F8" s="52">
        <v>72</v>
      </c>
      <c r="G8" s="672">
        <v>164</v>
      </c>
      <c r="H8" s="673"/>
      <c r="I8" s="673"/>
      <c r="J8" s="673"/>
      <c r="K8" s="674"/>
      <c r="L8" s="114" t="s">
        <v>116</v>
      </c>
      <c r="M8" s="141">
        <v>183</v>
      </c>
      <c r="N8" s="141">
        <v>204</v>
      </c>
      <c r="P8">
        <f t="shared" ref="P8" si="0">M8*1.4</f>
        <v>256.2</v>
      </c>
      <c r="Q8">
        <f t="shared" ref="Q8:Q18" si="1">P8*0.76</f>
        <v>194.71199999999999</v>
      </c>
      <c r="R8" s="157">
        <f t="shared" ref="R8" si="2">1-M8/Q8</f>
        <v>6.0150375939849621E-2</v>
      </c>
      <c r="T8" s="237">
        <v>201.17</v>
      </c>
      <c r="U8" s="237">
        <v>165</v>
      </c>
      <c r="V8" s="238">
        <f t="shared" ref="V8:V18" si="3">SUM(G8*0.76)</f>
        <v>124.64</v>
      </c>
      <c r="W8" s="277">
        <v>207.4</v>
      </c>
      <c r="X8" s="277">
        <v>272.89999999999998</v>
      </c>
      <c r="Y8" s="286">
        <f t="shared" ref="Y8:Y18" si="4">SUM(X8*0.76)</f>
        <v>207.404</v>
      </c>
      <c r="Z8" s="282">
        <f>SUM(W8*0.97)</f>
        <v>201.178</v>
      </c>
      <c r="AA8" s="145">
        <f t="shared" ref="AA8" si="5">SUM(Z8-T8)</f>
        <v>8.0000000000097771E-3</v>
      </c>
      <c r="AB8" s="347">
        <v>152</v>
      </c>
      <c r="AC8" s="347">
        <v>163</v>
      </c>
      <c r="AD8" s="229">
        <v>181.06</v>
      </c>
      <c r="AE8" s="229">
        <v>187</v>
      </c>
      <c r="AF8" s="244">
        <f t="shared" ref="AF8:AF18" si="6">SUM(AE8/0.76)</f>
        <v>246.05263157894737</v>
      </c>
      <c r="AK8" s="347">
        <v>152.53</v>
      </c>
      <c r="AL8" s="347">
        <v>159</v>
      </c>
      <c r="AM8" s="347">
        <v>153</v>
      </c>
      <c r="AN8" s="347">
        <v>154</v>
      </c>
      <c r="AO8" s="347">
        <v>163.24</v>
      </c>
      <c r="AP8" s="347">
        <v>215</v>
      </c>
      <c r="AQ8" s="347">
        <v>163.25</v>
      </c>
      <c r="AR8" s="347">
        <v>214.8</v>
      </c>
      <c r="AT8" s="362">
        <v>165</v>
      </c>
      <c r="AU8" s="362">
        <v>0</v>
      </c>
      <c r="AV8" s="363">
        <v>0</v>
      </c>
      <c r="AW8" s="365">
        <v>163</v>
      </c>
      <c r="AX8" s="365">
        <v>165</v>
      </c>
      <c r="AY8" s="365">
        <v>160.56</v>
      </c>
      <c r="AZ8" s="365">
        <v>160.56</v>
      </c>
      <c r="BA8" s="366">
        <f>SUM(AZ8*1.034)</f>
        <v>166.01904000000002</v>
      </c>
      <c r="BB8" s="367">
        <f t="shared" ref="BB8:BB9" si="7">BA8*0.24/0.76+BA8</f>
        <v>218.4461052631579</v>
      </c>
    </row>
    <row r="9" spans="1:54" ht="31.5" customHeight="1">
      <c r="A9" s="356"/>
      <c r="B9" s="356"/>
      <c r="C9" s="357"/>
      <c r="D9" s="358"/>
      <c r="E9" s="358"/>
      <c r="F9" s="358"/>
      <c r="G9" s="359"/>
      <c r="H9" s="359"/>
      <c r="I9" s="359"/>
      <c r="J9" s="359"/>
      <c r="K9" s="359"/>
      <c r="L9" s="356"/>
      <c r="M9" s="354"/>
      <c r="N9" s="354"/>
      <c r="R9" s="157"/>
      <c r="T9" s="284"/>
      <c r="U9" s="284"/>
      <c r="V9" s="285"/>
      <c r="W9" s="286"/>
      <c r="X9" s="286"/>
      <c r="Y9" s="286"/>
      <c r="Z9" s="287"/>
      <c r="AA9" s="288"/>
      <c r="AB9" s="347"/>
      <c r="AC9" s="347"/>
      <c r="AD9" s="229"/>
      <c r="AE9" s="229"/>
      <c r="AF9" s="244"/>
      <c r="AW9" t="s">
        <v>666</v>
      </c>
      <c r="BB9" s="264">
        <f t="shared" si="7"/>
        <v>0</v>
      </c>
    </row>
    <row r="10" spans="1:54" ht="17.100000000000001" customHeight="1" thickBot="1">
      <c r="A10" s="666" t="s">
        <v>2</v>
      </c>
      <c r="B10" s="666"/>
      <c r="C10" s="666" t="s">
        <v>3</v>
      </c>
      <c r="D10" s="666"/>
      <c r="E10" s="666"/>
      <c r="F10" s="666"/>
      <c r="G10" s="563"/>
      <c r="H10" s="563"/>
      <c r="I10" s="563"/>
      <c r="J10" s="563"/>
      <c r="K10" s="563"/>
      <c r="L10" s="563"/>
      <c r="M10" s="354"/>
      <c r="N10" s="354"/>
      <c r="R10" s="157"/>
      <c r="T10" s="284"/>
      <c r="U10" s="284"/>
      <c r="V10" s="285"/>
      <c r="W10" s="286"/>
      <c r="X10" s="286"/>
      <c r="Y10" s="286"/>
      <c r="Z10" s="287"/>
      <c r="AA10" s="288"/>
      <c r="AB10" s="347"/>
      <c r="AC10" s="347"/>
      <c r="AD10" s="229"/>
      <c r="AE10" s="229"/>
      <c r="AF10" s="244"/>
      <c r="AW10" t="s">
        <v>667</v>
      </c>
      <c r="BA10" s="347">
        <v>168.3</v>
      </c>
      <c r="BB10" s="264">
        <f>BA10*0.24/0.76+BA10</f>
        <v>221.44736842105266</v>
      </c>
    </row>
    <row r="11" spans="1:54" ht="17.100000000000001" customHeight="1" thickBot="1">
      <c r="A11" s="565" t="s">
        <v>21</v>
      </c>
      <c r="B11" s="567"/>
      <c r="C11" s="353" t="s">
        <v>0</v>
      </c>
      <c r="D11" s="353" t="s">
        <v>1</v>
      </c>
      <c r="E11" s="353" t="s">
        <v>20</v>
      </c>
      <c r="F11" s="353" t="s">
        <v>7</v>
      </c>
      <c r="G11" s="565" t="s">
        <v>660</v>
      </c>
      <c r="H11" s="566"/>
      <c r="I11" s="566"/>
      <c r="J11" s="566"/>
      <c r="K11" s="567"/>
      <c r="L11" s="21" t="s">
        <v>4</v>
      </c>
      <c r="M11" s="354"/>
      <c r="N11" s="354"/>
      <c r="R11" s="157"/>
      <c r="T11" s="284"/>
      <c r="U11" s="284"/>
      <c r="V11" s="285"/>
      <c r="W11" s="286"/>
      <c r="X11" s="286"/>
      <c r="Y11" s="286"/>
      <c r="Z11" s="287"/>
      <c r="AA11" s="288"/>
      <c r="AB11" s="347"/>
      <c r="AC11" s="347"/>
      <c r="AD11" s="229"/>
      <c r="AE11" s="229"/>
      <c r="AF11" s="244"/>
      <c r="AW11" t="s">
        <v>668</v>
      </c>
    </row>
    <row r="12" spans="1:54" ht="14.25" customHeight="1" thickBot="1">
      <c r="A12" s="501" t="s">
        <v>652</v>
      </c>
      <c r="B12" s="502"/>
      <c r="C12" s="76">
        <v>8</v>
      </c>
      <c r="D12" s="78">
        <v>1250</v>
      </c>
      <c r="E12" s="78">
        <v>2500</v>
      </c>
      <c r="F12" s="78">
        <v>82</v>
      </c>
      <c r="G12" s="657">
        <v>169</v>
      </c>
      <c r="H12" s="658"/>
      <c r="I12" s="658"/>
      <c r="J12" s="658"/>
      <c r="K12" s="659"/>
      <c r="L12" s="113" t="s">
        <v>653</v>
      </c>
      <c r="M12" s="354"/>
      <c r="N12" s="354"/>
      <c r="R12" s="157"/>
      <c r="T12" s="284"/>
      <c r="U12" s="284"/>
      <c r="V12" s="285"/>
      <c r="W12" s="286"/>
      <c r="X12" s="286"/>
      <c r="Y12" s="286"/>
      <c r="Z12" s="287"/>
      <c r="AA12" s="288"/>
      <c r="AB12" s="347"/>
      <c r="AC12" s="347"/>
      <c r="AD12" s="229"/>
      <c r="AE12" s="229"/>
      <c r="AF12" s="244"/>
    </row>
    <row r="13" spans="1:54" ht="14.25" customHeight="1" thickBot="1">
      <c r="A13" s="501" t="s">
        <v>652</v>
      </c>
      <c r="B13" s="502"/>
      <c r="C13" s="76">
        <v>12</v>
      </c>
      <c r="D13" s="78">
        <v>1250</v>
      </c>
      <c r="E13" s="78">
        <v>2500</v>
      </c>
      <c r="F13" s="78">
        <v>56</v>
      </c>
      <c r="G13" s="657">
        <v>200</v>
      </c>
      <c r="H13" s="658"/>
      <c r="I13" s="658"/>
      <c r="J13" s="658"/>
      <c r="K13" s="659"/>
      <c r="L13" s="113" t="s">
        <v>653</v>
      </c>
      <c r="M13" s="354"/>
      <c r="N13" s="354"/>
      <c r="R13" s="157"/>
      <c r="T13" s="284"/>
      <c r="U13" s="284"/>
      <c r="V13" s="285"/>
      <c r="W13" s="286"/>
      <c r="X13" s="286"/>
      <c r="Y13" s="286"/>
      <c r="Z13" s="287"/>
      <c r="AA13" s="288"/>
      <c r="AB13" s="347"/>
      <c r="AC13" s="347"/>
      <c r="AD13" s="229"/>
      <c r="AE13" s="229"/>
      <c r="AF13" s="244"/>
    </row>
    <row r="14" spans="1:54" ht="31.5" customHeight="1">
      <c r="A14" s="680"/>
      <c r="B14" s="680"/>
      <c r="C14" s="680"/>
      <c r="D14" s="680"/>
      <c r="E14" s="680"/>
      <c r="F14" s="680"/>
      <c r="G14" s="680"/>
      <c r="H14" s="680"/>
      <c r="I14" s="680"/>
      <c r="J14" s="680"/>
      <c r="K14" s="680"/>
      <c r="L14" s="680"/>
      <c r="M14" s="141" t="s">
        <v>470</v>
      </c>
      <c r="N14" s="141" t="s">
        <v>468</v>
      </c>
      <c r="O14" s="141" t="s">
        <v>469</v>
      </c>
      <c r="R14" s="157"/>
      <c r="T14" s="237"/>
      <c r="U14" s="237"/>
      <c r="V14" s="238"/>
      <c r="W14" s="277"/>
      <c r="X14" s="277"/>
      <c r="Y14" s="286">
        <f t="shared" si="4"/>
        <v>0</v>
      </c>
      <c r="Z14" s="282"/>
      <c r="AA14" s="145"/>
      <c r="AB14" s="347"/>
      <c r="AC14" s="347"/>
      <c r="AD14" s="229"/>
      <c r="AE14" s="229"/>
      <c r="AF14" s="244">
        <f t="shared" si="6"/>
        <v>0</v>
      </c>
    </row>
    <row r="15" spans="1:54" ht="15.75" customHeight="1" thickBot="1">
      <c r="A15" s="666" t="s">
        <v>2</v>
      </c>
      <c r="B15" s="666"/>
      <c r="C15" s="666" t="s">
        <v>3</v>
      </c>
      <c r="D15" s="666"/>
      <c r="E15" s="666"/>
      <c r="F15" s="666"/>
      <c r="G15" s="563"/>
      <c r="H15" s="563"/>
      <c r="I15" s="563"/>
      <c r="J15" s="563"/>
      <c r="K15" s="563"/>
      <c r="L15" s="563"/>
      <c r="M15" s="354"/>
      <c r="N15" s="354"/>
      <c r="O15" s="354"/>
      <c r="R15" s="157"/>
      <c r="T15" s="237"/>
      <c r="U15" s="237"/>
      <c r="V15" s="238"/>
      <c r="W15" s="277"/>
      <c r="X15" s="277"/>
      <c r="Y15" s="286"/>
      <c r="Z15" s="282"/>
      <c r="AA15" s="145"/>
      <c r="AB15" s="347"/>
      <c r="AC15" s="347"/>
      <c r="AD15" s="229"/>
      <c r="AE15" s="229"/>
      <c r="AF15" s="244"/>
    </row>
    <row r="16" spans="1:54" ht="34.5" customHeight="1" thickBot="1">
      <c r="A16" s="565" t="s">
        <v>21</v>
      </c>
      <c r="B16" s="567"/>
      <c r="C16" s="353" t="s">
        <v>0</v>
      </c>
      <c r="D16" s="353" t="s">
        <v>1</v>
      </c>
      <c r="E16" s="353" t="s">
        <v>20</v>
      </c>
      <c r="F16" s="353" t="s">
        <v>7</v>
      </c>
      <c r="G16" s="565" t="s">
        <v>660</v>
      </c>
      <c r="H16" s="566"/>
      <c r="I16" s="566"/>
      <c r="J16" s="566"/>
      <c r="K16" s="567"/>
      <c r="L16" s="21" t="s">
        <v>4</v>
      </c>
      <c r="M16" s="354"/>
      <c r="N16" s="354"/>
      <c r="O16" s="354"/>
      <c r="R16" s="157"/>
      <c r="T16" s="237"/>
      <c r="U16" s="237"/>
      <c r="V16" s="238"/>
      <c r="W16" s="277"/>
      <c r="X16" s="277"/>
      <c r="Y16" s="286"/>
      <c r="Z16" s="282"/>
      <c r="AA16" s="145"/>
      <c r="AB16" s="347"/>
      <c r="AC16" s="347"/>
      <c r="AD16" s="229"/>
      <c r="AE16" s="229"/>
      <c r="AF16" s="244"/>
    </row>
    <row r="17" spans="1:41" ht="18" customHeight="1" thickBot="1">
      <c r="A17" s="501" t="s">
        <v>83</v>
      </c>
      <c r="B17" s="502"/>
      <c r="C17" s="77">
        <v>12</v>
      </c>
      <c r="D17" s="52">
        <v>1250</v>
      </c>
      <c r="E17" s="52">
        <v>2500</v>
      </c>
      <c r="F17" s="52">
        <v>85</v>
      </c>
      <c r="G17" s="657">
        <v>178</v>
      </c>
      <c r="H17" s="658"/>
      <c r="I17" s="658"/>
      <c r="J17" s="658"/>
      <c r="K17" s="659"/>
      <c r="L17" s="169" t="s">
        <v>653</v>
      </c>
      <c r="M17" s="141">
        <v>186</v>
      </c>
      <c r="N17" s="141">
        <v>217</v>
      </c>
      <c r="O17" s="141">
        <v>223</v>
      </c>
      <c r="P17">
        <f>M17*1.37</f>
        <v>254.82000000000002</v>
      </c>
      <c r="Q17" s="228">
        <f t="shared" si="1"/>
        <v>193.66320000000002</v>
      </c>
      <c r="R17" s="157">
        <f>1-M17/Q17</f>
        <v>3.956972723780261E-2</v>
      </c>
      <c r="T17" s="237">
        <v>188.92</v>
      </c>
      <c r="U17" s="237">
        <v>178.77</v>
      </c>
      <c r="V17" s="238">
        <f t="shared" si="3"/>
        <v>135.28</v>
      </c>
      <c r="W17" s="277">
        <v>194.8</v>
      </c>
      <c r="X17" s="277">
        <v>256.32</v>
      </c>
      <c r="Y17" s="286">
        <f t="shared" si="4"/>
        <v>194.8032</v>
      </c>
      <c r="Z17" s="282">
        <f>SUM(W17*0.97)</f>
        <v>188.95600000000002</v>
      </c>
      <c r="AA17" s="145">
        <f>SUM(Z17-T17)</f>
        <v>3.6000000000029786E-2</v>
      </c>
      <c r="AB17" s="347"/>
      <c r="AC17" s="347"/>
      <c r="AD17" s="229">
        <v>169.2</v>
      </c>
      <c r="AE17" s="229">
        <v>178</v>
      </c>
      <c r="AF17" s="244">
        <f t="shared" si="6"/>
        <v>234.21052631578948</v>
      </c>
      <c r="AJ17" t="s">
        <v>603</v>
      </c>
      <c r="AK17" s="6"/>
      <c r="AL17" s="355"/>
      <c r="AM17" s="355"/>
      <c r="AN17" s="355"/>
      <c r="AO17" s="6"/>
    </row>
    <row r="18" spans="1:41" ht="18" customHeight="1" thickBot="1">
      <c r="A18" s="501" t="s">
        <v>83</v>
      </c>
      <c r="B18" s="502"/>
      <c r="C18" s="76">
        <v>15</v>
      </c>
      <c r="D18" s="53">
        <v>1250</v>
      </c>
      <c r="E18" s="53">
        <v>2500</v>
      </c>
      <c r="F18" s="53">
        <v>70</v>
      </c>
      <c r="G18" s="657">
        <v>240</v>
      </c>
      <c r="H18" s="658"/>
      <c r="I18" s="658"/>
      <c r="J18" s="658"/>
      <c r="K18" s="659"/>
      <c r="L18" s="342" t="s">
        <v>653</v>
      </c>
      <c r="M18" s="141">
        <v>253</v>
      </c>
      <c r="N18" s="141">
        <v>267</v>
      </c>
      <c r="O18" s="141">
        <v>277</v>
      </c>
      <c r="P18">
        <f>M18*1.37</f>
        <v>346.61</v>
      </c>
      <c r="Q18" s="228">
        <f t="shared" si="1"/>
        <v>263.42360000000002</v>
      </c>
      <c r="R18" s="157">
        <f>1-M18/Q18</f>
        <v>3.956972723780261E-2</v>
      </c>
      <c r="T18" s="237">
        <v>253.6</v>
      </c>
      <c r="U18" s="237">
        <v>223.46</v>
      </c>
      <c r="V18" s="238">
        <f t="shared" si="3"/>
        <v>182.4</v>
      </c>
      <c r="W18" s="277">
        <v>261.5</v>
      </c>
      <c r="X18" s="277">
        <v>344.08</v>
      </c>
      <c r="Y18" s="286">
        <f t="shared" si="4"/>
        <v>261.50079999999997</v>
      </c>
      <c r="Z18" s="282">
        <f>SUM(W18*0.97)</f>
        <v>253.655</v>
      </c>
      <c r="AA18" s="145">
        <f>SUM(Z18-T18)</f>
        <v>5.5000000000006821E-2</v>
      </c>
      <c r="AB18" s="347"/>
      <c r="AC18" s="347"/>
      <c r="AD18" s="229">
        <v>228.3</v>
      </c>
      <c r="AE18" s="229">
        <v>240</v>
      </c>
      <c r="AF18" s="244">
        <f t="shared" si="6"/>
        <v>315.78947368421052</v>
      </c>
      <c r="AK18" s="6"/>
      <c r="AL18" s="355"/>
      <c r="AM18" s="355"/>
      <c r="AN18" s="355"/>
      <c r="AO18" s="6"/>
    </row>
    <row r="19" spans="1:41" ht="33.75" customHeight="1">
      <c r="A19" s="8"/>
      <c r="C19" s="8"/>
    </row>
    <row r="20" spans="1:41" ht="19.5" customHeight="1" thickBot="1">
      <c r="A20" s="666" t="s">
        <v>2</v>
      </c>
      <c r="B20" s="666"/>
      <c r="C20" s="666" t="s">
        <v>3</v>
      </c>
      <c r="D20" s="666"/>
      <c r="E20" s="666"/>
      <c r="F20" s="666"/>
      <c r="G20" s="563"/>
      <c r="H20" s="563"/>
      <c r="I20" s="563"/>
      <c r="J20" s="563"/>
      <c r="K20" s="563"/>
      <c r="L20" s="563"/>
    </row>
    <row r="21" spans="1:41" ht="39.75" customHeight="1" thickBot="1">
      <c r="A21" s="565" t="s">
        <v>21</v>
      </c>
      <c r="B21" s="567"/>
      <c r="C21" s="353" t="s">
        <v>0</v>
      </c>
      <c r="D21" s="353" t="s">
        <v>1</v>
      </c>
      <c r="E21" s="353" t="s">
        <v>20</v>
      </c>
      <c r="F21" s="353" t="s">
        <v>7</v>
      </c>
      <c r="G21" s="565" t="s">
        <v>660</v>
      </c>
      <c r="H21" s="566"/>
      <c r="I21" s="566"/>
      <c r="J21" s="566"/>
      <c r="K21" s="567"/>
      <c r="L21" s="21" t="s">
        <v>4</v>
      </c>
    </row>
    <row r="22" spans="1:41" ht="16.5" customHeight="1" thickBot="1">
      <c r="A22" s="675" t="s">
        <v>651</v>
      </c>
      <c r="B22" s="676"/>
      <c r="C22" s="167">
        <v>6</v>
      </c>
      <c r="D22" s="168">
        <v>1250</v>
      </c>
      <c r="E22" s="168">
        <v>2500</v>
      </c>
      <c r="F22" s="168">
        <v>84</v>
      </c>
      <c r="G22" s="657">
        <v>146</v>
      </c>
      <c r="H22" s="658"/>
      <c r="I22" s="658"/>
      <c r="J22" s="658"/>
      <c r="K22" s="659"/>
      <c r="L22" s="169" t="s">
        <v>653</v>
      </c>
    </row>
    <row r="23" spans="1:41" ht="16.5" customHeight="1" thickBot="1">
      <c r="A23" s="501" t="s">
        <v>651</v>
      </c>
      <c r="B23" s="502"/>
      <c r="C23" s="76">
        <v>8</v>
      </c>
      <c r="D23" s="78">
        <v>1250</v>
      </c>
      <c r="E23" s="78">
        <v>2500</v>
      </c>
      <c r="F23" s="78">
        <v>84</v>
      </c>
      <c r="G23" s="657">
        <v>182</v>
      </c>
      <c r="H23" s="658"/>
      <c r="I23" s="658"/>
      <c r="J23" s="658"/>
      <c r="K23" s="659"/>
      <c r="L23" s="169" t="s">
        <v>653</v>
      </c>
    </row>
    <row r="24" spans="1:41" ht="16.5" customHeight="1" thickBot="1">
      <c r="A24" s="501" t="s">
        <v>651</v>
      </c>
      <c r="B24" s="502"/>
      <c r="C24" s="77">
        <v>10</v>
      </c>
      <c r="D24" s="79">
        <v>1250</v>
      </c>
      <c r="E24" s="79">
        <v>2500</v>
      </c>
      <c r="F24" s="79">
        <v>69</v>
      </c>
      <c r="G24" s="657">
        <v>181</v>
      </c>
      <c r="H24" s="658"/>
      <c r="I24" s="658"/>
      <c r="J24" s="658"/>
      <c r="K24" s="659"/>
      <c r="L24" s="169" t="s">
        <v>653</v>
      </c>
    </row>
    <row r="25" spans="1:41" ht="19.5" customHeight="1"/>
    <row r="26" spans="1:41" ht="19.5" customHeight="1"/>
    <row r="27" spans="1:41" ht="19.5" customHeight="1">
      <c r="C27" t="s">
        <v>654</v>
      </c>
    </row>
    <row r="28" spans="1:41" ht="19.5" customHeight="1"/>
    <row r="29" spans="1:41" ht="19.5" customHeight="1">
      <c r="B29" t="s">
        <v>655</v>
      </c>
    </row>
    <row r="30" spans="1:41" ht="19.5" customHeight="1"/>
    <row r="31" spans="1:41" ht="19.5" customHeight="1"/>
    <row r="32" spans="1:41" ht="19.5" customHeight="1"/>
    <row r="33" ht="19.5" customHeight="1"/>
    <row r="34" ht="19.5" customHeight="1"/>
    <row r="35" ht="19.5" customHeight="1"/>
    <row r="36" ht="38.25" customHeight="1"/>
    <row r="38" ht="28.5" customHeight="1"/>
    <row r="41" ht="30" customHeight="1"/>
    <row r="46" ht="12.75" customHeight="1"/>
    <row r="49" ht="34.5" customHeight="1"/>
    <row r="52" ht="39" customHeight="1"/>
    <row r="68" ht="29.25" customHeight="1"/>
    <row r="75" ht="36" customHeight="1"/>
    <row r="76" ht="12" customHeight="1"/>
    <row r="78" ht="29.25" customHeight="1"/>
    <row r="79" ht="80.25" customHeight="1"/>
    <row r="81" ht="80.25" customHeight="1"/>
    <row r="83" ht="80.25" customHeight="1"/>
    <row r="84" ht="12" customHeight="1"/>
    <row r="85" ht="80.25" customHeight="1"/>
    <row r="87" ht="81" customHeight="1"/>
    <row r="88" ht="16.5" customHeight="1"/>
    <row r="89" ht="16.5" customHeight="1"/>
    <row r="90" ht="16.5" customHeight="1"/>
    <row r="91" ht="39" customHeight="1"/>
    <row r="92" ht="10.5" customHeight="1"/>
    <row r="93" ht="10.5" customHeight="1"/>
    <row r="94" ht="12.75" customHeight="1"/>
    <row r="95" ht="12.75" customHeight="1"/>
    <row r="96" ht="31.5" customHeight="1"/>
    <row r="97" ht="13.5" customHeight="1"/>
    <row r="98" ht="81" customHeight="1"/>
    <row r="99" ht="17.25" customHeight="1"/>
    <row r="100" ht="75.75" customHeight="1"/>
    <row r="101" ht="15.75" customHeight="1"/>
    <row r="102" ht="78.75" customHeight="1"/>
    <row r="104" ht="84" customHeight="1"/>
    <row r="106" ht="80.25" customHeight="1"/>
    <row r="108" ht="80.25" customHeight="1"/>
    <row r="110" ht="80.25" customHeight="1"/>
    <row r="111" ht="10.5" customHeight="1"/>
    <row r="113" ht="27.75" customHeight="1"/>
    <row r="114" ht="15" customHeight="1"/>
    <row r="115" ht="15" customHeight="1"/>
    <row r="116" ht="15" customHeight="1"/>
    <row r="117" ht="15" customHeight="1"/>
    <row r="118" ht="15" customHeight="1"/>
    <row r="122" ht="80.25" customHeight="1"/>
    <row r="124" ht="81.75" customHeight="1"/>
    <row r="126" ht="80.25" customHeight="1"/>
    <row r="128" ht="80.25" customHeight="1"/>
    <row r="129" ht="36" customHeight="1"/>
    <row r="130" ht="19.5" customHeight="1"/>
    <row r="131" ht="28.5" customHeight="1"/>
    <row r="132" ht="10.5" customHeight="1"/>
    <row r="133" ht="55.5" customHeight="1"/>
    <row r="134" ht="11.25" customHeight="1"/>
    <row r="135" ht="55.5" customHeight="1"/>
    <row r="136" ht="12.75" customHeight="1"/>
    <row r="137" ht="55.5" customHeight="1"/>
    <row r="138" ht="55.5" customHeight="1"/>
    <row r="139" ht="43.5" customHeight="1"/>
    <row r="140" ht="14.25" customHeight="1"/>
    <row r="141" ht="12.75" customHeight="1"/>
    <row r="142" ht="13.5" customHeight="1"/>
    <row r="146" ht="54.75" customHeight="1"/>
    <row r="147" ht="18" customHeight="1"/>
    <row r="148" ht="55.5" customHeight="1"/>
    <row r="150" ht="55.5" customHeight="1"/>
  </sheetData>
  <sheetProtection password="CC4F" sheet="1" objects="1" scenarios="1"/>
  <mergeCells count="46">
    <mergeCell ref="A2:L2"/>
    <mergeCell ref="A3:L3"/>
    <mergeCell ref="A14:L14"/>
    <mergeCell ref="A8:B8"/>
    <mergeCell ref="G4:L4"/>
    <mergeCell ref="C4:F4"/>
    <mergeCell ref="A4:B4"/>
    <mergeCell ref="F5:F7"/>
    <mergeCell ref="E5:E7"/>
    <mergeCell ref="C10:F10"/>
    <mergeCell ref="A12:B12"/>
    <mergeCell ref="A13:B13"/>
    <mergeCell ref="D5:D7"/>
    <mergeCell ref="A16:B16"/>
    <mergeCell ref="A23:B23"/>
    <mergeCell ref="A24:B24"/>
    <mergeCell ref="A20:B20"/>
    <mergeCell ref="C20:F20"/>
    <mergeCell ref="A17:B17"/>
    <mergeCell ref="A21:B21"/>
    <mergeCell ref="A22:B22"/>
    <mergeCell ref="A18:B18"/>
    <mergeCell ref="A15:B15"/>
    <mergeCell ref="C15:F15"/>
    <mergeCell ref="C5:C7"/>
    <mergeCell ref="A5:B7"/>
    <mergeCell ref="G12:K12"/>
    <mergeCell ref="G13:K13"/>
    <mergeCell ref="G11:K11"/>
    <mergeCell ref="A10:B10"/>
    <mergeCell ref="G10:L10"/>
    <mergeCell ref="A11:B11"/>
    <mergeCell ref="G8:K8"/>
    <mergeCell ref="AT5:AV5"/>
    <mergeCell ref="AT6:AV6"/>
    <mergeCell ref="G24:K24"/>
    <mergeCell ref="G21:K21"/>
    <mergeCell ref="G16:K16"/>
    <mergeCell ref="G22:K22"/>
    <mergeCell ref="G23:K23"/>
    <mergeCell ref="G18:K18"/>
    <mergeCell ref="G20:L20"/>
    <mergeCell ref="G15:L15"/>
    <mergeCell ref="L5:L7"/>
    <mergeCell ref="G17:K17"/>
    <mergeCell ref="G5:K7"/>
  </mergeCells>
  <pageMargins left="0.39370078740157483" right="0.39370078740157483" top="0.39370078740157483" bottom="0.39370078740157483" header="0.31496062992125984" footer="0.31496062992125984"/>
  <pageSetup paperSize="9" scale="95" orientation="portrait" r:id="rId1"/>
  <headerFooter>
    <oddHeader xml:space="preserve">&amp;L&amp;G&amp;R&amp;"Arial Cyr,полужирный курсив" 02160, Украина
 г. Киев, ул. Вискозная, 17
 тел.: 503-77-88
 www.stalex.ua
&amp;"Arial Cyr,полужирный"
</oddHeader>
  </headerFooter>
  <colBreaks count="2" manualBreakCount="2">
    <brk id="12" max="1048575" man="1"/>
    <brk id="27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8" tint="-0.499984740745262"/>
  </sheetPr>
  <dimension ref="A1:AJ33"/>
  <sheetViews>
    <sheetView view="pageBreakPreview" zoomScaleNormal="110" zoomScaleSheetLayoutView="100" workbookViewId="0">
      <selection activeCell="AA8" sqref="AA8"/>
    </sheetView>
  </sheetViews>
  <sheetFormatPr defaultRowHeight="12.75" outlineLevelCol="1"/>
  <cols>
    <col min="1" max="1" width="10.7109375" customWidth="1"/>
    <col min="2" max="2" width="6.140625" customWidth="1"/>
    <col min="3" max="3" width="6.5703125" customWidth="1"/>
    <col min="4" max="4" width="6.42578125" customWidth="1"/>
    <col min="5" max="5" width="5.85546875" customWidth="1"/>
    <col min="6" max="6" width="8.42578125" customWidth="1"/>
    <col min="7" max="7" width="8.5703125" customWidth="1"/>
    <col min="8" max="8" width="15.140625" customWidth="1"/>
    <col min="9" max="9" width="12.5703125" customWidth="1"/>
    <col min="10" max="10" width="12.140625" customWidth="1"/>
    <col min="11" max="11" width="16.85546875" customWidth="1"/>
    <col min="12" max="23" width="13.28515625" hidden="1" customWidth="1" outlineLevel="1"/>
    <col min="24" max="24" width="0.140625" hidden="1" customWidth="1" outlineLevel="1"/>
    <col min="25" max="25" width="9.140625" hidden="1" customWidth="1" outlineLevel="1" collapsed="1"/>
    <col min="26" max="26" width="9.140625" hidden="1" customWidth="1" outlineLevel="1"/>
    <col min="27" max="27" width="16.85546875" hidden="1" customWidth="1" outlineLevel="1"/>
    <col min="28" max="35" width="9.140625" hidden="1" customWidth="1" outlineLevel="1"/>
    <col min="36" max="36" width="9.140625" collapsed="1"/>
  </cols>
  <sheetData>
    <row r="1" spans="1:30" ht="15" customHeight="1">
      <c r="A1" s="13">
        <f>'Плиты ОSB-3'!A1</f>
        <v>0</v>
      </c>
      <c r="B1" s="138"/>
      <c r="C1" s="1"/>
      <c r="D1" s="2"/>
      <c r="E1" s="2"/>
      <c r="F1" s="2"/>
      <c r="H1" s="7"/>
    </row>
    <row r="2" spans="1:30" ht="59.25" customHeight="1">
      <c r="A2" s="681" t="s">
        <v>10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Z2" s="229" t="s">
        <v>495</v>
      </c>
      <c r="AA2" s="350" t="s">
        <v>636</v>
      </c>
      <c r="AB2" s="229" t="s">
        <v>614</v>
      </c>
      <c r="AC2" s="350" t="s">
        <v>637</v>
      </c>
      <c r="AD2" s="229" t="s">
        <v>638</v>
      </c>
    </row>
    <row r="3" spans="1:30" ht="20.25" customHeight="1" thickBot="1">
      <c r="A3" s="666" t="s">
        <v>3</v>
      </c>
      <c r="B3" s="666"/>
      <c r="C3" s="666"/>
      <c r="D3" s="666"/>
      <c r="E3" s="666"/>
      <c r="F3" s="666"/>
      <c r="G3" s="666"/>
      <c r="H3" s="666"/>
      <c r="I3" s="563" t="s">
        <v>5</v>
      </c>
      <c r="J3" s="563"/>
      <c r="K3" s="563"/>
      <c r="Z3" s="229"/>
      <c r="AA3" s="350"/>
      <c r="AB3" s="229"/>
      <c r="AC3" s="350"/>
      <c r="AD3" s="229"/>
    </row>
    <row r="4" spans="1:30" ht="29.25" customHeight="1" thickBot="1">
      <c r="A4" s="23" t="s">
        <v>28</v>
      </c>
      <c r="B4" s="23" t="s">
        <v>1</v>
      </c>
      <c r="C4" s="23" t="s">
        <v>20</v>
      </c>
      <c r="D4" s="23" t="s">
        <v>11</v>
      </c>
      <c r="E4" s="23" t="s">
        <v>12</v>
      </c>
      <c r="F4" s="23" t="s">
        <v>13</v>
      </c>
      <c r="G4" s="667" t="s">
        <v>15</v>
      </c>
      <c r="H4" s="667"/>
      <c r="I4" s="23" t="s">
        <v>122</v>
      </c>
      <c r="J4" s="20" t="s">
        <v>121</v>
      </c>
      <c r="K4" s="23" t="s">
        <v>4</v>
      </c>
      <c r="L4" s="185" t="s">
        <v>485</v>
      </c>
      <c r="M4" s="185"/>
      <c r="N4" s="690" t="s">
        <v>486</v>
      </c>
      <c r="O4" s="691"/>
      <c r="P4" s="691"/>
      <c r="Q4" s="692"/>
      <c r="R4" s="185" t="s">
        <v>487</v>
      </c>
      <c r="S4" s="185" t="s">
        <v>488</v>
      </c>
      <c r="T4" s="185" t="s">
        <v>489</v>
      </c>
      <c r="U4" s="186" t="s">
        <v>490</v>
      </c>
      <c r="V4" s="187" t="s">
        <v>491</v>
      </c>
      <c r="W4" s="186" t="s">
        <v>480</v>
      </c>
      <c r="X4" s="186" t="s">
        <v>492</v>
      </c>
      <c r="Z4" s="229"/>
      <c r="AA4" s="350"/>
      <c r="AB4" s="229"/>
      <c r="AC4" s="350"/>
      <c r="AD4" s="229"/>
    </row>
    <row r="5" spans="1:30" ht="33" customHeight="1">
      <c r="A5" s="697" t="s">
        <v>17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145"/>
      <c r="M5" s="145"/>
      <c r="N5" s="145"/>
      <c r="O5" s="175" t="s">
        <v>484</v>
      </c>
      <c r="P5" s="175" t="s">
        <v>494</v>
      </c>
      <c r="Q5" s="175" t="s">
        <v>482</v>
      </c>
      <c r="R5" s="145"/>
      <c r="S5" s="145"/>
      <c r="T5" s="145"/>
      <c r="U5" s="145"/>
      <c r="V5" s="172"/>
      <c r="W5" s="145"/>
      <c r="Z5" s="229"/>
      <c r="AA5" s="350"/>
      <c r="AB5" s="229"/>
      <c r="AC5" s="350"/>
      <c r="AD5" s="229"/>
    </row>
    <row r="6" spans="1:30" ht="15.75" customHeight="1" thickBot="1">
      <c r="A6" s="48" t="s">
        <v>118</v>
      </c>
      <c r="B6" s="48">
        <v>4.8</v>
      </c>
      <c r="C6" s="48">
        <v>35</v>
      </c>
      <c r="D6" s="48">
        <v>250</v>
      </c>
      <c r="E6" s="48">
        <v>3000</v>
      </c>
      <c r="F6" s="48" t="s">
        <v>14</v>
      </c>
      <c r="G6" s="682" t="s">
        <v>16</v>
      </c>
      <c r="H6" s="682"/>
      <c r="I6" s="183">
        <f>J6/250</f>
        <v>0.59327999999999992</v>
      </c>
      <c r="J6" s="47">
        <f>SUM(AC6)</f>
        <v>148.32</v>
      </c>
      <c r="K6" s="49" t="s">
        <v>8</v>
      </c>
      <c r="L6" s="145"/>
      <c r="M6" s="179">
        <v>0.42</v>
      </c>
      <c r="N6" s="160">
        <f>M6*250</f>
        <v>105</v>
      </c>
      <c r="O6" s="176">
        <f>M6*1.44</f>
        <v>0.6048</v>
      </c>
      <c r="P6" s="176">
        <f>O6*0.76</f>
        <v>0.459648</v>
      </c>
      <c r="Q6" s="177">
        <f>1-M6/P6</f>
        <v>8.6257309941520477E-2</v>
      </c>
      <c r="R6" s="145">
        <v>141.25</v>
      </c>
      <c r="S6" s="145">
        <f>52*2.5</f>
        <v>130</v>
      </c>
      <c r="T6" s="145">
        <v>108.75</v>
      </c>
      <c r="U6" s="170">
        <v>126.67</v>
      </c>
      <c r="V6" s="171">
        <v>106.25</v>
      </c>
      <c r="W6" s="170">
        <v>114</v>
      </c>
      <c r="X6" s="173">
        <v>122.5</v>
      </c>
      <c r="Z6" s="229">
        <v>100</v>
      </c>
      <c r="AA6" s="350">
        <f>SUM(Z6*1.03)</f>
        <v>103</v>
      </c>
      <c r="AB6" s="229">
        <f>SUM(Z6*1.46)</f>
        <v>146</v>
      </c>
      <c r="AC6" s="350">
        <f>SUM(AA6*1.44)</f>
        <v>148.32</v>
      </c>
      <c r="AD6" s="244">
        <f>SUM(AC6*0.76)</f>
        <v>112.72319999999999</v>
      </c>
    </row>
    <row r="7" spans="1:30" ht="25.5" customHeight="1" thickBot="1">
      <c r="A7" s="50" t="s">
        <v>118</v>
      </c>
      <c r="B7" s="50">
        <v>4.8</v>
      </c>
      <c r="C7" s="50">
        <v>35</v>
      </c>
      <c r="D7" s="50">
        <v>250</v>
      </c>
      <c r="E7" s="50">
        <v>3000</v>
      </c>
      <c r="F7" s="50" t="s">
        <v>14</v>
      </c>
      <c r="G7" s="685" t="s">
        <v>24</v>
      </c>
      <c r="H7" s="685"/>
      <c r="I7" s="140">
        <f>J7/250</f>
        <v>0.62294399999999994</v>
      </c>
      <c r="J7" s="27">
        <f>SUM(AC7)</f>
        <v>155.73599999999999</v>
      </c>
      <c r="K7" s="51" t="s">
        <v>8</v>
      </c>
      <c r="L7" s="145">
        <v>154</v>
      </c>
      <c r="M7" s="179">
        <v>0.47</v>
      </c>
      <c r="N7" s="160">
        <f>M7*250</f>
        <v>117.5</v>
      </c>
      <c r="O7" s="176">
        <f>M7*1.44</f>
        <v>0.67679999999999996</v>
      </c>
      <c r="P7" s="176">
        <f t="shared" ref="P7:P19" si="0">O7*0.76</f>
        <v>0.51436799999999994</v>
      </c>
      <c r="Q7" s="178">
        <f t="shared" ref="Q7:Q15" si="1">1-M7/P7</f>
        <v>8.6257309941520366E-2</v>
      </c>
      <c r="R7" s="145">
        <v>167.25</v>
      </c>
      <c r="S7" s="145">
        <f>58*2.5</f>
        <v>145</v>
      </c>
      <c r="T7" s="145">
        <v>134.05000000000001</v>
      </c>
      <c r="U7" s="170">
        <v>148.27000000000001</v>
      </c>
      <c r="V7" s="171">
        <v>121.25</v>
      </c>
      <c r="W7" s="170">
        <v>116</v>
      </c>
      <c r="X7" s="173">
        <v>122.5</v>
      </c>
      <c r="Z7" s="229">
        <v>105</v>
      </c>
      <c r="AA7" s="350">
        <f t="shared" ref="AA7:AA19" si="2">SUM(Z7*1.03)</f>
        <v>108.15</v>
      </c>
      <c r="AB7" s="229">
        <f t="shared" ref="AB7:AB19" si="3">SUM(Z7*1.46)</f>
        <v>153.29999999999998</v>
      </c>
      <c r="AC7" s="350">
        <f t="shared" ref="AC7:AC19" si="4">SUM(AA7*1.44)</f>
        <v>155.73599999999999</v>
      </c>
      <c r="AD7" s="244">
        <f t="shared" ref="AD7:AD19" si="5">SUM(AC7*0.76)</f>
        <v>118.35936</v>
      </c>
    </row>
    <row r="8" spans="1:30" ht="31.5" customHeight="1">
      <c r="A8" s="475" t="s">
        <v>118</v>
      </c>
      <c r="B8" s="475">
        <v>4.8</v>
      </c>
      <c r="C8" s="475">
        <v>70</v>
      </c>
      <c r="D8" s="475">
        <v>100</v>
      </c>
      <c r="E8" s="475">
        <v>3000</v>
      </c>
      <c r="F8" s="475" t="s">
        <v>14</v>
      </c>
      <c r="G8" s="686" t="s">
        <v>777</v>
      </c>
      <c r="H8" s="686"/>
      <c r="I8" s="44">
        <f>J8/D8</f>
        <v>1.1106201600000001</v>
      </c>
      <c r="J8" s="477">
        <f>SUM(AC8)</f>
        <v>111.062016</v>
      </c>
      <c r="K8" s="56" t="s">
        <v>8</v>
      </c>
      <c r="L8" s="476"/>
      <c r="M8" s="179"/>
      <c r="N8" s="160"/>
      <c r="O8" s="176"/>
      <c r="P8" s="176"/>
      <c r="Q8" s="178"/>
      <c r="R8" s="145"/>
      <c r="S8" s="145"/>
      <c r="T8" s="145"/>
      <c r="U8" s="170"/>
      <c r="V8" s="171"/>
      <c r="W8" s="170"/>
      <c r="X8" s="173"/>
      <c r="Z8" s="229">
        <v>74.88</v>
      </c>
      <c r="AA8" s="350">
        <f>SUM(Z8*1.03)</f>
        <v>77.126400000000004</v>
      </c>
      <c r="AB8" s="229">
        <f t="shared" ref="AB8" si="6">SUM(Z8*1.46)</f>
        <v>109.3248</v>
      </c>
      <c r="AC8" s="350">
        <f t="shared" ref="AC8" si="7">SUM(AA8*1.44)</f>
        <v>111.062016</v>
      </c>
      <c r="AD8" s="244">
        <f t="shared" ref="AD8" si="8">SUM(AC8*0.76)</f>
        <v>84.407132160000003</v>
      </c>
    </row>
    <row r="9" spans="1:30" ht="33" customHeight="1">
      <c r="A9" s="696" t="s">
        <v>180</v>
      </c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687"/>
      <c r="M9" s="174"/>
      <c r="N9" s="145"/>
      <c r="O9" s="176"/>
      <c r="P9" s="176"/>
      <c r="Q9" s="177"/>
      <c r="R9" s="145"/>
      <c r="S9" s="145"/>
      <c r="T9" s="145"/>
      <c r="U9" s="145"/>
      <c r="V9" s="172"/>
      <c r="W9" s="145"/>
      <c r="X9" s="145"/>
      <c r="Z9" s="229"/>
      <c r="AA9" s="350">
        <f t="shared" si="2"/>
        <v>0</v>
      </c>
      <c r="AB9" s="229">
        <f t="shared" si="3"/>
        <v>0</v>
      </c>
      <c r="AC9" s="350">
        <f t="shared" si="4"/>
        <v>0</v>
      </c>
      <c r="AD9" s="244">
        <f t="shared" si="5"/>
        <v>0</v>
      </c>
    </row>
    <row r="10" spans="1:30" ht="15.75" customHeight="1" thickBot="1">
      <c r="A10" s="48" t="s">
        <v>118</v>
      </c>
      <c r="B10" s="48">
        <v>4.8</v>
      </c>
      <c r="C10" s="48">
        <v>19</v>
      </c>
      <c r="D10" s="48">
        <v>250</v>
      </c>
      <c r="E10" s="48">
        <v>3000</v>
      </c>
      <c r="F10" s="48" t="s">
        <v>14</v>
      </c>
      <c r="G10" s="535" t="s">
        <v>16</v>
      </c>
      <c r="H10" s="695"/>
      <c r="I10" s="183">
        <f t="shared" ref="I10:I15" si="9">J10/250</f>
        <v>0.54878399999999994</v>
      </c>
      <c r="J10" s="47">
        <f>SUM(AC10)</f>
        <v>137.196</v>
      </c>
      <c r="K10" s="49" t="s">
        <v>8</v>
      </c>
      <c r="L10" s="688"/>
      <c r="M10" s="179">
        <v>0.42</v>
      </c>
      <c r="N10" s="160">
        <f>M10*250</f>
        <v>105</v>
      </c>
      <c r="O10" s="176">
        <f t="shared" ref="O10:O15" si="10">M10*1.44</f>
        <v>0.6048</v>
      </c>
      <c r="P10" s="176">
        <f t="shared" si="0"/>
        <v>0.459648</v>
      </c>
      <c r="Q10" s="177">
        <f t="shared" si="1"/>
        <v>8.6257309941520477E-2</v>
      </c>
      <c r="R10" s="145">
        <v>114.87</v>
      </c>
      <c r="S10" s="145">
        <f>45*2.5</f>
        <v>112.5</v>
      </c>
      <c r="T10" s="145"/>
      <c r="U10" s="145">
        <v>100.48</v>
      </c>
      <c r="V10" s="172">
        <v>97</v>
      </c>
      <c r="W10" s="170">
        <v>112</v>
      </c>
      <c r="X10" s="173">
        <v>122.5</v>
      </c>
      <c r="Z10" s="229">
        <v>92.5</v>
      </c>
      <c r="AA10" s="350">
        <f t="shared" si="2"/>
        <v>95.275000000000006</v>
      </c>
      <c r="AB10" s="229">
        <f t="shared" si="3"/>
        <v>135.04999999999998</v>
      </c>
      <c r="AC10" s="350">
        <f t="shared" si="4"/>
        <v>137.196</v>
      </c>
      <c r="AD10" s="244">
        <f t="shared" si="5"/>
        <v>104.26895999999999</v>
      </c>
    </row>
    <row r="11" spans="1:30" ht="15.75" customHeight="1" thickBot="1">
      <c r="A11" s="10" t="s">
        <v>118</v>
      </c>
      <c r="B11" s="10">
        <v>5.5</v>
      </c>
      <c r="C11" s="10">
        <v>25</v>
      </c>
      <c r="D11" s="10">
        <v>250</v>
      </c>
      <c r="E11" s="10">
        <v>3600</v>
      </c>
      <c r="F11" s="10" t="s">
        <v>18</v>
      </c>
      <c r="G11" s="693" t="s">
        <v>16</v>
      </c>
      <c r="H11" s="694"/>
      <c r="I11" s="184">
        <f t="shared" si="9"/>
        <v>0.81576000000000004</v>
      </c>
      <c r="J11" s="349">
        <f t="shared" ref="J11:J15" si="11">SUM(AC11)</f>
        <v>203.94</v>
      </c>
      <c r="K11" s="52" t="s">
        <v>8</v>
      </c>
      <c r="L11" s="688"/>
      <c r="M11" s="174">
        <f>N11/250</f>
        <v>0.56000000000000005</v>
      </c>
      <c r="N11" s="145">
        <v>140</v>
      </c>
      <c r="O11" s="176">
        <f t="shared" si="10"/>
        <v>0.80640000000000001</v>
      </c>
      <c r="P11" s="176">
        <f t="shared" si="0"/>
        <v>0.61286399999999996</v>
      </c>
      <c r="Q11" s="177">
        <f t="shared" si="1"/>
        <v>8.6257309941520366E-2</v>
      </c>
      <c r="R11" s="145">
        <v>148.62</v>
      </c>
      <c r="S11" s="145">
        <f>57*2.5</f>
        <v>142.5</v>
      </c>
      <c r="T11" s="145"/>
      <c r="U11" s="145">
        <v>132.57</v>
      </c>
      <c r="V11" s="172">
        <v>124.2</v>
      </c>
      <c r="W11" s="145"/>
      <c r="X11" s="145"/>
      <c r="Z11" s="229">
        <v>137.5</v>
      </c>
      <c r="AA11" s="350">
        <f t="shared" si="2"/>
        <v>141.625</v>
      </c>
      <c r="AB11" s="229">
        <f t="shared" si="3"/>
        <v>200.75</v>
      </c>
      <c r="AC11" s="350">
        <f t="shared" si="4"/>
        <v>203.94</v>
      </c>
      <c r="AD11" s="244">
        <f t="shared" si="5"/>
        <v>154.99440000000001</v>
      </c>
    </row>
    <row r="12" spans="1:30" ht="18" customHeight="1" thickBot="1">
      <c r="A12" s="55" t="s">
        <v>118</v>
      </c>
      <c r="B12" s="11">
        <v>5.5</v>
      </c>
      <c r="C12" s="11">
        <v>32</v>
      </c>
      <c r="D12" s="11">
        <v>250</v>
      </c>
      <c r="E12" s="11">
        <v>3600</v>
      </c>
      <c r="F12" s="11" t="s">
        <v>18</v>
      </c>
      <c r="G12" s="683" t="s">
        <v>16</v>
      </c>
      <c r="H12" s="684"/>
      <c r="I12" s="183">
        <f t="shared" si="9"/>
        <v>1.0848124800000001</v>
      </c>
      <c r="J12" s="47">
        <f t="shared" si="11"/>
        <v>271.20312000000001</v>
      </c>
      <c r="K12" s="53" t="s">
        <v>8</v>
      </c>
      <c r="L12" s="688"/>
      <c r="M12" s="174">
        <f>N12/250</f>
        <v>0.73199999999999998</v>
      </c>
      <c r="N12" s="145">
        <v>183</v>
      </c>
      <c r="O12" s="176">
        <f t="shared" si="10"/>
        <v>1.0540799999999999</v>
      </c>
      <c r="P12" s="176">
        <f t="shared" si="0"/>
        <v>0.80110079999999995</v>
      </c>
      <c r="Q12" s="177">
        <f t="shared" si="1"/>
        <v>8.6257309941520477E-2</v>
      </c>
      <c r="R12" s="145">
        <v>225</v>
      </c>
      <c r="S12" s="145"/>
      <c r="T12" s="145" t="s">
        <v>493</v>
      </c>
      <c r="U12" s="170">
        <v>186</v>
      </c>
      <c r="V12" s="171">
        <v>212.5</v>
      </c>
      <c r="W12" s="145"/>
      <c r="X12" s="145"/>
      <c r="Z12" s="229">
        <v>182.85</v>
      </c>
      <c r="AA12" s="350">
        <f t="shared" si="2"/>
        <v>188.3355</v>
      </c>
      <c r="AB12" s="229">
        <f t="shared" si="3"/>
        <v>266.96100000000001</v>
      </c>
      <c r="AC12" s="350">
        <f t="shared" si="4"/>
        <v>271.20312000000001</v>
      </c>
      <c r="AD12" s="244">
        <f t="shared" si="5"/>
        <v>206.11437120000002</v>
      </c>
    </row>
    <row r="13" spans="1:30" ht="24.75" customHeight="1" thickBot="1">
      <c r="A13" s="10" t="s">
        <v>118</v>
      </c>
      <c r="B13" s="10">
        <v>4.8</v>
      </c>
      <c r="C13" s="10">
        <v>19</v>
      </c>
      <c r="D13" s="10">
        <v>250</v>
      </c>
      <c r="E13" s="10">
        <v>3000</v>
      </c>
      <c r="F13" s="10" t="s">
        <v>14</v>
      </c>
      <c r="G13" s="693" t="s">
        <v>24</v>
      </c>
      <c r="H13" s="694"/>
      <c r="I13" s="184">
        <f t="shared" si="9"/>
        <v>0.6273936</v>
      </c>
      <c r="J13" s="349">
        <f t="shared" si="11"/>
        <v>156.8484</v>
      </c>
      <c r="K13" s="52" t="s">
        <v>8</v>
      </c>
      <c r="L13" s="688"/>
      <c r="M13" s="179">
        <v>0.47</v>
      </c>
      <c r="N13" s="160">
        <f>M13*250</f>
        <v>117.5</v>
      </c>
      <c r="O13" s="176">
        <f t="shared" si="10"/>
        <v>0.67679999999999996</v>
      </c>
      <c r="P13" s="176">
        <f t="shared" si="0"/>
        <v>0.51436799999999994</v>
      </c>
      <c r="Q13" s="177">
        <f t="shared" si="1"/>
        <v>8.6257309941520366E-2</v>
      </c>
      <c r="R13" s="145">
        <v>156.25</v>
      </c>
      <c r="S13" s="145">
        <f>48*2.5</f>
        <v>120</v>
      </c>
      <c r="T13" s="145">
        <v>119.75</v>
      </c>
      <c r="U13" s="170">
        <v>126.67</v>
      </c>
      <c r="V13" s="171">
        <v>112.5</v>
      </c>
      <c r="W13" s="170">
        <v>112</v>
      </c>
      <c r="X13" s="173">
        <v>122.5</v>
      </c>
      <c r="Z13" s="229">
        <v>105.75</v>
      </c>
      <c r="AA13" s="350">
        <f t="shared" si="2"/>
        <v>108.9225</v>
      </c>
      <c r="AB13" s="229">
        <f t="shared" si="3"/>
        <v>154.39500000000001</v>
      </c>
      <c r="AC13" s="350">
        <f t="shared" si="4"/>
        <v>156.8484</v>
      </c>
      <c r="AD13" s="244">
        <f t="shared" si="5"/>
        <v>119.204784</v>
      </c>
    </row>
    <row r="14" spans="1:30" ht="24.75" customHeight="1" thickBot="1">
      <c r="A14" s="55" t="s">
        <v>118</v>
      </c>
      <c r="B14" s="55">
        <v>5.5</v>
      </c>
      <c r="C14" s="55">
        <v>25</v>
      </c>
      <c r="D14" s="55">
        <v>250</v>
      </c>
      <c r="E14" s="55">
        <v>3600</v>
      </c>
      <c r="F14" s="55" t="s">
        <v>18</v>
      </c>
      <c r="G14" s="683" t="s">
        <v>24</v>
      </c>
      <c r="H14" s="684"/>
      <c r="I14" s="183">
        <f t="shared" si="9"/>
        <v>0.88991999999999993</v>
      </c>
      <c r="J14" s="47">
        <f t="shared" si="11"/>
        <v>222.48</v>
      </c>
      <c r="K14" s="56" t="s">
        <v>62</v>
      </c>
      <c r="L14" s="688"/>
      <c r="M14" s="174">
        <f>N14/250</f>
        <v>0.6</v>
      </c>
      <c r="N14" s="145">
        <v>150</v>
      </c>
      <c r="O14" s="176">
        <f t="shared" si="10"/>
        <v>0.86399999999999999</v>
      </c>
      <c r="P14" s="176">
        <f t="shared" si="0"/>
        <v>0.65664</v>
      </c>
      <c r="Q14" s="177">
        <f t="shared" si="1"/>
        <v>8.6257309941520477E-2</v>
      </c>
      <c r="R14" s="145"/>
      <c r="S14" s="145">
        <f>59*2.5</f>
        <v>147.5</v>
      </c>
      <c r="T14" s="145">
        <v>148.25</v>
      </c>
      <c r="U14" s="145">
        <v>159.1</v>
      </c>
      <c r="V14" s="172">
        <v>139.37</v>
      </c>
      <c r="W14" s="145"/>
      <c r="X14" s="145"/>
      <c r="Z14" s="229">
        <v>150</v>
      </c>
      <c r="AA14" s="350">
        <f t="shared" si="2"/>
        <v>154.5</v>
      </c>
      <c r="AB14" s="229">
        <f t="shared" si="3"/>
        <v>219</v>
      </c>
      <c r="AC14" s="350">
        <f t="shared" si="4"/>
        <v>222.48</v>
      </c>
      <c r="AD14" s="244">
        <f t="shared" si="5"/>
        <v>169.0848</v>
      </c>
    </row>
    <row r="15" spans="1:30" ht="24.75" customHeight="1" thickBot="1">
      <c r="A15" s="54" t="s">
        <v>118</v>
      </c>
      <c r="B15" s="54">
        <v>5.5</v>
      </c>
      <c r="C15" s="54">
        <v>32</v>
      </c>
      <c r="D15" s="54">
        <v>250</v>
      </c>
      <c r="E15" s="54">
        <v>3600</v>
      </c>
      <c r="F15" s="54" t="s">
        <v>18</v>
      </c>
      <c r="G15" s="693" t="s">
        <v>24</v>
      </c>
      <c r="H15" s="694"/>
      <c r="I15" s="184">
        <f t="shared" si="9"/>
        <v>1.4805302400000002</v>
      </c>
      <c r="J15" s="349">
        <f t="shared" si="11"/>
        <v>370.13256000000007</v>
      </c>
      <c r="K15" s="51" t="s">
        <v>179</v>
      </c>
      <c r="L15" s="689"/>
      <c r="M15" s="174">
        <f>N15/250</f>
        <v>0.996</v>
      </c>
      <c r="N15" s="145">
        <v>249</v>
      </c>
      <c r="O15" s="176">
        <f t="shared" si="10"/>
        <v>1.43424</v>
      </c>
      <c r="P15" s="176">
        <f t="shared" si="0"/>
        <v>1.0900224000000001</v>
      </c>
      <c r="Q15" s="177">
        <f t="shared" si="1"/>
        <v>8.6257309941520477E-2</v>
      </c>
      <c r="R15" s="145"/>
      <c r="S15" s="145"/>
      <c r="T15" s="145"/>
      <c r="U15" s="145"/>
      <c r="V15" s="172">
        <v>227.5</v>
      </c>
      <c r="W15" s="145"/>
      <c r="X15" s="145"/>
      <c r="Z15" s="229">
        <v>249.55</v>
      </c>
      <c r="AA15" s="350">
        <f t="shared" si="2"/>
        <v>257.03650000000005</v>
      </c>
      <c r="AB15" s="229">
        <f t="shared" si="3"/>
        <v>364.34300000000002</v>
      </c>
      <c r="AC15" s="350">
        <f t="shared" si="4"/>
        <v>370.13256000000007</v>
      </c>
      <c r="AD15" s="244">
        <f t="shared" si="5"/>
        <v>281.30074560000003</v>
      </c>
    </row>
    <row r="16" spans="1:30" ht="33" customHeight="1">
      <c r="A16" s="697" t="s">
        <v>48</v>
      </c>
      <c r="B16" s="697"/>
      <c r="C16" s="697"/>
      <c r="D16" s="697"/>
      <c r="E16" s="697"/>
      <c r="F16" s="697"/>
      <c r="G16" s="697"/>
      <c r="H16" s="697"/>
      <c r="I16" s="697"/>
      <c r="J16" s="697"/>
      <c r="K16" s="697"/>
      <c r="L16" s="147"/>
      <c r="M16" s="180"/>
      <c r="N16" s="180"/>
      <c r="O16" s="176"/>
      <c r="P16" s="176"/>
      <c r="Q16" s="177"/>
      <c r="R16" s="180"/>
      <c r="S16" s="180"/>
      <c r="T16" s="180"/>
      <c r="U16" s="148"/>
      <c r="W16" s="145"/>
      <c r="X16" s="145"/>
      <c r="Z16" s="229"/>
      <c r="AA16" s="350">
        <f t="shared" si="2"/>
        <v>0</v>
      </c>
      <c r="AB16" s="229">
        <f t="shared" si="3"/>
        <v>0</v>
      </c>
      <c r="AC16" s="350">
        <f t="shared" si="4"/>
        <v>0</v>
      </c>
      <c r="AD16" s="244">
        <f t="shared" si="5"/>
        <v>0</v>
      </c>
    </row>
    <row r="17" spans="1:30" ht="19.5" customHeight="1" thickBot="1">
      <c r="A17" s="597" t="s">
        <v>3</v>
      </c>
      <c r="B17" s="598"/>
      <c r="C17" s="598"/>
      <c r="D17" s="598"/>
      <c r="E17" s="598"/>
      <c r="F17" s="598"/>
      <c r="G17" s="598"/>
      <c r="H17" s="599"/>
      <c r="I17" s="563" t="s">
        <v>5</v>
      </c>
      <c r="J17" s="563"/>
      <c r="K17" s="563"/>
      <c r="L17" s="149"/>
      <c r="M17" s="181"/>
      <c r="N17" s="181"/>
      <c r="O17" s="176"/>
      <c r="P17" s="176"/>
      <c r="Q17" s="177"/>
      <c r="R17" s="181"/>
      <c r="S17" s="181"/>
      <c r="T17" s="181"/>
      <c r="U17" s="150"/>
      <c r="W17" s="145"/>
      <c r="X17" s="145"/>
      <c r="Z17" s="229"/>
      <c r="AA17" s="350">
        <f t="shared" si="2"/>
        <v>0</v>
      </c>
      <c r="AB17" s="229">
        <f t="shared" si="3"/>
        <v>0</v>
      </c>
      <c r="AC17" s="350">
        <f t="shared" si="4"/>
        <v>0</v>
      </c>
      <c r="AD17" s="244">
        <f t="shared" si="5"/>
        <v>0</v>
      </c>
    </row>
    <row r="18" spans="1:30" ht="29.25" customHeight="1" thickBot="1">
      <c r="A18" s="20" t="s">
        <v>28</v>
      </c>
      <c r="B18" s="564" t="s">
        <v>50</v>
      </c>
      <c r="C18" s="564"/>
      <c r="D18" s="20" t="s">
        <v>11</v>
      </c>
      <c r="E18" s="565" t="s">
        <v>15</v>
      </c>
      <c r="F18" s="566"/>
      <c r="G18" s="566"/>
      <c r="H18" s="567"/>
      <c r="I18" s="20" t="s">
        <v>120</v>
      </c>
      <c r="J18" s="20" t="s">
        <v>121</v>
      </c>
      <c r="K18" s="20" t="s">
        <v>4</v>
      </c>
      <c r="L18" s="151"/>
      <c r="M18" s="182"/>
      <c r="N18" s="182"/>
      <c r="O18" s="176"/>
      <c r="P18" s="176"/>
      <c r="Q18" s="177"/>
      <c r="R18" s="182"/>
      <c r="S18" s="182"/>
      <c r="T18" s="182"/>
      <c r="U18" s="152"/>
      <c r="W18" s="145"/>
      <c r="X18" s="145"/>
      <c r="Z18" s="229"/>
      <c r="AA18" s="350">
        <f t="shared" si="2"/>
        <v>0</v>
      </c>
      <c r="AB18" s="229">
        <f t="shared" si="3"/>
        <v>0</v>
      </c>
      <c r="AC18" s="350">
        <f t="shared" si="4"/>
        <v>0</v>
      </c>
      <c r="AD18" s="244">
        <f t="shared" si="5"/>
        <v>0</v>
      </c>
    </row>
    <row r="19" spans="1:30" ht="21.75" customHeight="1">
      <c r="A19" s="12" t="s">
        <v>119</v>
      </c>
      <c r="B19" s="698" t="s">
        <v>49</v>
      </c>
      <c r="C19" s="698"/>
      <c r="D19" s="12">
        <v>250</v>
      </c>
      <c r="E19" s="699" t="s">
        <v>24</v>
      </c>
      <c r="F19" s="700"/>
      <c r="G19" s="700"/>
      <c r="H19" s="701"/>
      <c r="I19" s="44">
        <f>J19/250</f>
        <v>0.41529600000000005</v>
      </c>
      <c r="J19" s="29">
        <f>SUM(AC19)</f>
        <v>103.82400000000001</v>
      </c>
      <c r="K19" s="28" t="s">
        <v>8</v>
      </c>
      <c r="L19" s="145"/>
      <c r="M19" s="145">
        <f>N19/250</f>
        <v>0.28000000000000003</v>
      </c>
      <c r="N19" s="145">
        <v>70</v>
      </c>
      <c r="O19" s="176">
        <f>M19*1.44</f>
        <v>0.4032</v>
      </c>
      <c r="P19" s="176">
        <f t="shared" si="0"/>
        <v>0.30643199999999998</v>
      </c>
      <c r="Q19" s="177">
        <f>1-M19/P19</f>
        <v>8.6257309941520366E-2</v>
      </c>
      <c r="R19" s="619"/>
      <c r="S19" s="629"/>
      <c r="T19" s="629"/>
      <c r="U19" s="620"/>
      <c r="V19">
        <v>56.25</v>
      </c>
      <c r="W19" s="145"/>
      <c r="X19" s="145"/>
      <c r="Z19" s="229">
        <v>70</v>
      </c>
      <c r="AA19" s="350">
        <f t="shared" si="2"/>
        <v>72.100000000000009</v>
      </c>
      <c r="AB19" s="229">
        <f t="shared" si="3"/>
        <v>102.2</v>
      </c>
      <c r="AC19" s="350">
        <f t="shared" si="4"/>
        <v>103.82400000000001</v>
      </c>
      <c r="AD19" s="244">
        <f t="shared" si="5"/>
        <v>78.906240000000011</v>
      </c>
    </row>
    <row r="20" spans="1:30" ht="12.2" customHeight="1">
      <c r="A20" s="30" t="s">
        <v>133</v>
      </c>
    </row>
    <row r="21" spans="1:30" ht="12.2" customHeight="1"/>
    <row r="22" spans="1:30" ht="12.2" customHeight="1"/>
    <row r="23" spans="1:30" ht="12.2" customHeight="1"/>
    <row r="24" spans="1:30" ht="12.2" customHeight="1"/>
    <row r="25" spans="1:30" ht="12.2" customHeight="1"/>
    <row r="26" spans="1:30" ht="12.2" customHeight="1"/>
    <row r="27" spans="1:30" ht="12.2" customHeight="1"/>
    <row r="28" spans="1:30" ht="12.2" customHeight="1"/>
    <row r="29" spans="1:30" ht="12.2" customHeight="1"/>
    <row r="30" spans="1:30" ht="12.2" customHeight="1"/>
    <row r="31" spans="1:30" ht="12.2" customHeight="1"/>
    <row r="32" spans="1:30" ht="12.2" customHeight="1"/>
    <row r="33" spans="1:11">
      <c r="A33" s="8"/>
      <c r="B33" s="4"/>
      <c r="C33" s="4"/>
      <c r="D33" s="4"/>
      <c r="E33" s="4"/>
      <c r="F33" s="4"/>
      <c r="G33" s="4"/>
      <c r="H33" s="5"/>
      <c r="I33" s="6"/>
      <c r="J33" s="31"/>
      <c r="K33" s="6"/>
    </row>
  </sheetData>
  <sheetProtection password="CC4F" sheet="1" objects="1" scenarios="1"/>
  <mergeCells count="25">
    <mergeCell ref="L9:L15"/>
    <mergeCell ref="R19:U19"/>
    <mergeCell ref="N4:Q4"/>
    <mergeCell ref="I17:K17"/>
    <mergeCell ref="G12:H12"/>
    <mergeCell ref="G15:H15"/>
    <mergeCell ref="G10:H10"/>
    <mergeCell ref="G11:H11"/>
    <mergeCell ref="A9:K9"/>
    <mergeCell ref="A16:K16"/>
    <mergeCell ref="B18:C18"/>
    <mergeCell ref="A5:K5"/>
    <mergeCell ref="B19:C19"/>
    <mergeCell ref="G13:H13"/>
    <mergeCell ref="E18:H18"/>
    <mergeCell ref="E19:H19"/>
    <mergeCell ref="A17:H17"/>
    <mergeCell ref="A2:K2"/>
    <mergeCell ref="G4:H4"/>
    <mergeCell ref="G6:H6"/>
    <mergeCell ref="I3:K3"/>
    <mergeCell ref="G14:H14"/>
    <mergeCell ref="A3:H3"/>
    <mergeCell ref="G7:H7"/>
    <mergeCell ref="G8:H8"/>
  </mergeCells>
  <pageMargins left="0.25" right="0.25" top="1.4791666666666667" bottom="0.21875" header="0.3" footer="0.3"/>
  <pageSetup paperSize="9" scale="91" orientation="portrait" r:id="rId1"/>
  <headerFooter>
    <oddHeader>&amp;L&amp;G&amp;R&amp;"Arial Cyr,полужирный курсив" 02160, Украина
 г. Киев, ул. Вискозная, 17
 тел.: 503-77-88
 www.stalex.ua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1"/>
  <sheetViews>
    <sheetView view="pageBreakPreview" zoomScaleNormal="110" zoomScaleSheetLayoutView="100" workbookViewId="0">
      <selection activeCell="Z11" sqref="Z11"/>
    </sheetView>
  </sheetViews>
  <sheetFormatPr defaultColWidth="9" defaultRowHeight="12.75" outlineLevelCol="1"/>
  <cols>
    <col min="1" max="1" width="15.5703125" customWidth="1"/>
    <col min="2" max="2" width="12.28515625" customWidth="1"/>
    <col min="3" max="3" width="32.42578125" customWidth="1"/>
    <col min="4" max="4" width="5.5703125" customWidth="1"/>
    <col min="5" max="5" width="4.7109375" customWidth="1"/>
    <col min="6" max="6" width="10.5703125" customWidth="1"/>
    <col min="7" max="7" width="13" customWidth="1"/>
    <col min="8" max="8" width="10.28515625" hidden="1" customWidth="1" outlineLevel="1"/>
    <col min="9" max="21" width="9" hidden="1" customWidth="1" outlineLevel="1"/>
    <col min="22" max="22" width="11.5703125" hidden="1" customWidth="1" outlineLevel="1"/>
    <col min="23" max="23" width="9" collapsed="1"/>
  </cols>
  <sheetData>
    <row r="1" spans="1:22" ht="63" customHeight="1">
      <c r="B1" s="13"/>
    </row>
    <row r="2" spans="1:22" ht="33.75" customHeight="1" thickBot="1">
      <c r="A2" s="716" t="s">
        <v>711</v>
      </c>
      <c r="B2" s="716"/>
      <c r="C2" s="716"/>
      <c r="D2" s="716"/>
      <c r="E2" s="716"/>
      <c r="F2" s="716"/>
      <c r="G2" s="717"/>
      <c r="J2" s="407"/>
      <c r="L2" s="407"/>
      <c r="P2" s="722" t="s">
        <v>718</v>
      </c>
      <c r="Q2" s="723" t="s">
        <v>720</v>
      </c>
      <c r="R2" s="723" t="s">
        <v>743</v>
      </c>
      <c r="S2" s="454"/>
      <c r="T2" s="722" t="s">
        <v>719</v>
      </c>
      <c r="U2" s="723" t="s">
        <v>723</v>
      </c>
      <c r="V2" s="724" t="s">
        <v>724</v>
      </c>
    </row>
    <row r="3" spans="1:22" ht="25.5" customHeight="1" thickBot="1">
      <c r="A3" s="718" t="s">
        <v>683</v>
      </c>
      <c r="B3" s="719" t="s">
        <v>28</v>
      </c>
      <c r="C3" s="720"/>
      <c r="D3" s="721"/>
      <c r="E3" s="721"/>
      <c r="F3" s="709" t="s">
        <v>19</v>
      </c>
      <c r="G3" s="709"/>
      <c r="J3" s="407"/>
      <c r="L3" s="407"/>
      <c r="N3" s="416"/>
      <c r="O3" s="435" t="s">
        <v>506</v>
      </c>
      <c r="P3" s="722"/>
      <c r="Q3" s="723"/>
      <c r="R3" s="723"/>
      <c r="S3" s="454"/>
      <c r="T3" s="722"/>
      <c r="U3" s="723"/>
      <c r="V3" s="724"/>
    </row>
    <row r="4" spans="1:22" ht="36" customHeight="1" thickBot="1">
      <c r="A4" s="718"/>
      <c r="B4" s="706" t="s">
        <v>28</v>
      </c>
      <c r="C4" s="707"/>
      <c r="D4" s="421" t="s">
        <v>107</v>
      </c>
      <c r="E4" s="421" t="s">
        <v>6</v>
      </c>
      <c r="F4" s="421" t="s">
        <v>710</v>
      </c>
      <c r="G4" s="414" t="s">
        <v>4</v>
      </c>
      <c r="H4" s="416" t="s">
        <v>713</v>
      </c>
      <c r="I4" s="416" t="s">
        <v>713</v>
      </c>
      <c r="J4" s="419" t="s">
        <v>722</v>
      </c>
      <c r="K4" s="416" t="s">
        <v>714</v>
      </c>
      <c r="L4" s="419" t="s">
        <v>721</v>
      </c>
      <c r="M4" s="416" t="s">
        <v>715</v>
      </c>
      <c r="N4" s="416" t="s">
        <v>716</v>
      </c>
      <c r="O4" s="435" t="s">
        <v>717</v>
      </c>
      <c r="P4" s="722"/>
      <c r="Q4" s="723"/>
      <c r="R4" s="723"/>
      <c r="S4" s="454"/>
      <c r="T4" s="722"/>
      <c r="U4" s="723"/>
      <c r="V4" s="724"/>
    </row>
    <row r="5" spans="1:22" ht="49.5" customHeight="1" thickBot="1">
      <c r="B5" s="702" t="s">
        <v>684</v>
      </c>
      <c r="C5" s="703"/>
      <c r="D5" s="411">
        <v>125</v>
      </c>
      <c r="E5" s="412">
        <v>4000</v>
      </c>
      <c r="F5" s="413">
        <f>SUM(M5)</f>
        <v>494</v>
      </c>
      <c r="G5" s="71" t="s">
        <v>737</v>
      </c>
      <c r="H5" s="417">
        <v>20.64</v>
      </c>
      <c r="I5" s="417">
        <f>SUM(H5*30)</f>
        <v>619.20000000000005</v>
      </c>
      <c r="J5" s="420">
        <f>SUM(I5*0.65)</f>
        <v>402.48</v>
      </c>
      <c r="K5" s="417">
        <v>520</v>
      </c>
      <c r="L5" s="420">
        <f>SUM(K5*0.65)</f>
        <v>338</v>
      </c>
      <c r="M5" s="417">
        <f>SUM(K5*0.95)</f>
        <v>494</v>
      </c>
      <c r="N5" s="417">
        <v>6.8</v>
      </c>
      <c r="O5" s="306">
        <v>260.74</v>
      </c>
      <c r="P5" s="417">
        <f>SUM(O5+2)</f>
        <v>262.74</v>
      </c>
      <c r="Q5" s="420">
        <f>SUM(M5*0.65)</f>
        <v>321.10000000000002</v>
      </c>
      <c r="R5" s="454">
        <f>SUM(M5*0.6)</f>
        <v>296.39999999999998</v>
      </c>
      <c r="S5" s="454">
        <f>SUM(R5*100/O5-100)</f>
        <v>13.676459308123015</v>
      </c>
      <c r="T5" s="417">
        <f>SUM(M5*0.8)</f>
        <v>395.20000000000005</v>
      </c>
      <c r="U5" s="420">
        <f>SUM(M5*0.7)</f>
        <v>345.79999999999995</v>
      </c>
      <c r="V5" s="418">
        <f>SUM(Q5*100/P5-100)</f>
        <v>22.212072771561253</v>
      </c>
    </row>
    <row r="6" spans="1:22" ht="27.75" customHeight="1" thickBot="1">
      <c r="B6" s="704" t="s">
        <v>685</v>
      </c>
      <c r="C6" s="705"/>
      <c r="D6" s="408">
        <v>125</v>
      </c>
      <c r="E6" s="409" t="s">
        <v>23</v>
      </c>
      <c r="F6" s="410">
        <f t="shared" ref="F6:F17" si="0">SUM(M6)</f>
        <v>78.849999999999994</v>
      </c>
      <c r="G6" s="415" t="s">
        <v>737</v>
      </c>
      <c r="H6" s="417">
        <v>2.77</v>
      </c>
      <c r="I6" s="417">
        <f t="shared" ref="I6:I18" si="1">SUM(H6*30)</f>
        <v>83.1</v>
      </c>
      <c r="J6" s="420">
        <f t="shared" ref="J6:J18" si="2">SUM(I6*0.65)</f>
        <v>54.015000000000001</v>
      </c>
      <c r="K6" s="417">
        <v>83</v>
      </c>
      <c r="L6" s="420">
        <f t="shared" ref="L6:L18" si="3">SUM(K6*0.65)</f>
        <v>53.95</v>
      </c>
      <c r="M6" s="436">
        <f t="shared" ref="M6:M7" si="4">SUM(K6*0.95)</f>
        <v>78.849999999999994</v>
      </c>
      <c r="N6" s="417">
        <v>1</v>
      </c>
      <c r="O6" s="306">
        <v>38.340000000000003</v>
      </c>
      <c r="P6" s="417">
        <f t="shared" ref="P6:P19" si="5">SUM(O6+2)</f>
        <v>40.340000000000003</v>
      </c>
      <c r="Q6" s="420">
        <f t="shared" ref="Q6:Q17" si="6">SUM(M6*0.65)</f>
        <v>51.252499999999998</v>
      </c>
      <c r="R6" s="454">
        <f t="shared" ref="R6:R17" si="7">SUM(M6*0.6)</f>
        <v>47.309999999999995</v>
      </c>
      <c r="S6" s="454">
        <f t="shared" ref="S6:S17" si="8">SUM(R6*100/O6-100)</f>
        <v>23.395931142409978</v>
      </c>
      <c r="T6" s="417">
        <f t="shared" ref="T6:T17" si="9">SUM(M6*0.8)</f>
        <v>63.08</v>
      </c>
      <c r="U6" s="420">
        <f t="shared" ref="U6:U17" si="10">SUM(M6*0.7)</f>
        <v>55.194999999999993</v>
      </c>
      <c r="V6" s="418">
        <f t="shared" ref="V6:V17" si="11">SUM(Q6*100/P6-100)</f>
        <v>27.051313832424384</v>
      </c>
    </row>
    <row r="7" spans="1:22" ht="27" customHeight="1" thickBot="1">
      <c r="B7" s="702" t="s">
        <v>686</v>
      </c>
      <c r="C7" s="703"/>
      <c r="D7" s="411">
        <v>125</v>
      </c>
      <c r="E7" s="412" t="s">
        <v>23</v>
      </c>
      <c r="F7" s="413">
        <f t="shared" si="0"/>
        <v>66.5</v>
      </c>
      <c r="G7" s="423" t="s">
        <v>737</v>
      </c>
      <c r="H7" s="417"/>
      <c r="I7" s="417">
        <f t="shared" si="1"/>
        <v>0</v>
      </c>
      <c r="J7" s="420">
        <f t="shared" si="2"/>
        <v>0</v>
      </c>
      <c r="K7" s="417">
        <v>70</v>
      </c>
      <c r="L7" s="420">
        <f t="shared" si="3"/>
        <v>45.5</v>
      </c>
      <c r="M7" s="436">
        <f t="shared" si="4"/>
        <v>66.5</v>
      </c>
      <c r="N7" s="417">
        <v>0.9</v>
      </c>
      <c r="O7" s="306">
        <v>34.51</v>
      </c>
      <c r="P7" s="417">
        <f t="shared" si="5"/>
        <v>36.51</v>
      </c>
      <c r="Q7" s="420">
        <f t="shared" si="6"/>
        <v>43.225000000000001</v>
      </c>
      <c r="R7" s="454">
        <f t="shared" si="7"/>
        <v>39.9</v>
      </c>
      <c r="S7" s="454">
        <f t="shared" si="8"/>
        <v>15.618661257606504</v>
      </c>
      <c r="T7" s="417">
        <f t="shared" si="9"/>
        <v>53.2</v>
      </c>
      <c r="U7" s="420">
        <f t="shared" si="10"/>
        <v>46.55</v>
      </c>
      <c r="V7" s="418">
        <f t="shared" si="11"/>
        <v>18.392221309230351</v>
      </c>
    </row>
    <row r="8" spans="1:22" ht="49.5" customHeight="1" thickBot="1">
      <c r="B8" s="704" t="s">
        <v>687</v>
      </c>
      <c r="C8" s="705"/>
      <c r="D8" s="408">
        <v>125</v>
      </c>
      <c r="E8" s="409" t="s">
        <v>23</v>
      </c>
      <c r="F8" s="410">
        <f t="shared" si="0"/>
        <v>60</v>
      </c>
      <c r="G8" s="70" t="s">
        <v>737</v>
      </c>
      <c r="H8" s="417">
        <v>2.4500000000000002</v>
      </c>
      <c r="I8" s="417">
        <f t="shared" si="1"/>
        <v>73.5</v>
      </c>
      <c r="J8" s="420">
        <f t="shared" si="2"/>
        <v>47.774999999999999</v>
      </c>
      <c r="K8" s="417"/>
      <c r="L8" s="420">
        <f t="shared" si="3"/>
        <v>0</v>
      </c>
      <c r="M8" s="417">
        <v>60</v>
      </c>
      <c r="N8" s="417">
        <v>0.8</v>
      </c>
      <c r="O8" s="306">
        <v>30.68</v>
      </c>
      <c r="P8" s="417">
        <f t="shared" si="5"/>
        <v>32.68</v>
      </c>
      <c r="Q8" s="420">
        <f t="shared" si="6"/>
        <v>39</v>
      </c>
      <c r="R8" s="454">
        <f t="shared" si="7"/>
        <v>36</v>
      </c>
      <c r="S8" s="454">
        <f t="shared" si="8"/>
        <v>17.34028683181225</v>
      </c>
      <c r="T8" s="417">
        <f t="shared" si="9"/>
        <v>48</v>
      </c>
      <c r="U8" s="420">
        <f t="shared" si="10"/>
        <v>42</v>
      </c>
      <c r="V8" s="418">
        <f t="shared" si="11"/>
        <v>19.339045287637703</v>
      </c>
    </row>
    <row r="9" spans="1:22" ht="49.5" customHeight="1" thickBot="1">
      <c r="B9" s="702" t="s">
        <v>688</v>
      </c>
      <c r="C9" s="703"/>
      <c r="D9" s="411">
        <v>125</v>
      </c>
      <c r="E9" s="412" t="s">
        <v>23</v>
      </c>
      <c r="F9" s="413">
        <f t="shared" si="0"/>
        <v>66.5</v>
      </c>
      <c r="G9" s="71" t="s">
        <v>737</v>
      </c>
      <c r="H9" s="417">
        <v>2.74</v>
      </c>
      <c r="I9" s="417">
        <f t="shared" si="1"/>
        <v>82.2</v>
      </c>
      <c r="J9" s="420">
        <f t="shared" si="2"/>
        <v>53.430000000000007</v>
      </c>
      <c r="K9" s="417">
        <v>70</v>
      </c>
      <c r="L9" s="420">
        <f t="shared" si="3"/>
        <v>45.5</v>
      </c>
      <c r="M9" s="417">
        <f>SUM(K9*0.95)</f>
        <v>66.5</v>
      </c>
      <c r="N9" s="417">
        <v>0.8</v>
      </c>
      <c r="O9" s="306">
        <v>30.68</v>
      </c>
      <c r="P9" s="417">
        <f t="shared" si="5"/>
        <v>32.68</v>
      </c>
      <c r="Q9" s="420">
        <f t="shared" si="6"/>
        <v>43.225000000000001</v>
      </c>
      <c r="R9" s="454">
        <f t="shared" si="7"/>
        <v>39.9</v>
      </c>
      <c r="S9" s="454">
        <f t="shared" si="8"/>
        <v>30.052151238591904</v>
      </c>
      <c r="T9" s="417">
        <f t="shared" si="9"/>
        <v>53.2</v>
      </c>
      <c r="U9" s="420">
        <f t="shared" si="10"/>
        <v>46.55</v>
      </c>
      <c r="V9" s="418">
        <f t="shared" si="11"/>
        <v>32.267441860465112</v>
      </c>
    </row>
    <row r="10" spans="1:22" ht="49.5" customHeight="1" thickBot="1">
      <c r="B10" s="704" t="s">
        <v>689</v>
      </c>
      <c r="C10" s="705"/>
      <c r="D10" s="408">
        <v>125</v>
      </c>
      <c r="E10" s="409" t="s">
        <v>23</v>
      </c>
      <c r="F10" s="410">
        <f t="shared" si="0"/>
        <v>86.45</v>
      </c>
      <c r="G10" s="70" t="s">
        <v>737</v>
      </c>
      <c r="H10" s="417">
        <v>3.52</v>
      </c>
      <c r="I10" s="417">
        <f t="shared" si="1"/>
        <v>105.6</v>
      </c>
      <c r="J10" s="420">
        <f t="shared" si="2"/>
        <v>68.64</v>
      </c>
      <c r="K10" s="417">
        <v>91</v>
      </c>
      <c r="L10" s="420">
        <f t="shared" si="3"/>
        <v>59.15</v>
      </c>
      <c r="M10" s="436">
        <f t="shared" ref="M10:M17" si="12">SUM(K10*0.95)</f>
        <v>86.45</v>
      </c>
      <c r="N10" s="417">
        <v>1.1000000000000001</v>
      </c>
      <c r="O10" s="306">
        <v>42.18</v>
      </c>
      <c r="P10" s="417">
        <f t="shared" si="5"/>
        <v>44.18</v>
      </c>
      <c r="Q10" s="420">
        <f t="shared" si="6"/>
        <v>56.192500000000003</v>
      </c>
      <c r="R10" s="454">
        <f t="shared" si="7"/>
        <v>51.87</v>
      </c>
      <c r="S10" s="454">
        <f t="shared" si="8"/>
        <v>22.972972972972968</v>
      </c>
      <c r="T10" s="417">
        <f t="shared" si="9"/>
        <v>69.160000000000011</v>
      </c>
      <c r="U10" s="420">
        <f t="shared" si="10"/>
        <v>60.515000000000001</v>
      </c>
      <c r="V10" s="418">
        <f t="shared" si="11"/>
        <v>27.189904934359433</v>
      </c>
    </row>
    <row r="11" spans="1:22" ht="49.5" customHeight="1" thickBot="1">
      <c r="B11" s="702" t="s">
        <v>690</v>
      </c>
      <c r="C11" s="703"/>
      <c r="D11" s="411">
        <v>125</v>
      </c>
      <c r="E11" s="412"/>
      <c r="F11" s="413">
        <f t="shared" si="0"/>
        <v>166.25</v>
      </c>
      <c r="G11" s="71" t="s">
        <v>737</v>
      </c>
      <c r="H11" s="417">
        <v>6.56</v>
      </c>
      <c r="I11" s="417">
        <f t="shared" si="1"/>
        <v>196.79999999999998</v>
      </c>
      <c r="J11" s="420">
        <f t="shared" si="2"/>
        <v>127.91999999999999</v>
      </c>
      <c r="K11" s="417">
        <v>175</v>
      </c>
      <c r="L11" s="420">
        <f t="shared" si="3"/>
        <v>113.75</v>
      </c>
      <c r="M11" s="436">
        <f t="shared" si="12"/>
        <v>166.25</v>
      </c>
      <c r="N11" s="417">
        <v>1.95</v>
      </c>
      <c r="O11" s="306">
        <v>74.77</v>
      </c>
      <c r="P11" s="417">
        <f t="shared" si="5"/>
        <v>76.77</v>
      </c>
      <c r="Q11" s="420">
        <f t="shared" si="6"/>
        <v>108.0625</v>
      </c>
      <c r="R11" s="454">
        <f t="shared" si="7"/>
        <v>99.75</v>
      </c>
      <c r="S11" s="454">
        <f t="shared" si="8"/>
        <v>33.409121305336384</v>
      </c>
      <c r="T11" s="417">
        <f t="shared" si="9"/>
        <v>133</v>
      </c>
      <c r="U11" s="420">
        <f t="shared" si="10"/>
        <v>116.37499999999999</v>
      </c>
      <c r="V11" s="418">
        <f t="shared" si="11"/>
        <v>40.761365116581999</v>
      </c>
    </row>
    <row r="12" spans="1:22" ht="49.5" customHeight="1" thickBot="1">
      <c r="B12" s="704" t="s">
        <v>704</v>
      </c>
      <c r="C12" s="705"/>
      <c r="D12" s="408">
        <v>125</v>
      </c>
      <c r="E12" s="409"/>
      <c r="F12" s="410">
        <f t="shared" si="0"/>
        <v>399</v>
      </c>
      <c r="G12" s="70" t="s">
        <v>737</v>
      </c>
      <c r="H12" s="417">
        <v>15.73</v>
      </c>
      <c r="I12" s="417">
        <f t="shared" si="1"/>
        <v>471.90000000000003</v>
      </c>
      <c r="J12" s="420">
        <f t="shared" si="2"/>
        <v>306.73500000000001</v>
      </c>
      <c r="K12" s="417">
        <v>420</v>
      </c>
      <c r="L12" s="420">
        <f t="shared" si="3"/>
        <v>273</v>
      </c>
      <c r="M12" s="436">
        <f t="shared" si="12"/>
        <v>399</v>
      </c>
      <c r="N12" s="417">
        <v>5.5</v>
      </c>
      <c r="O12" s="306">
        <v>210.9</v>
      </c>
      <c r="P12" s="417">
        <f t="shared" si="5"/>
        <v>212.9</v>
      </c>
      <c r="Q12" s="420">
        <f t="shared" si="6"/>
        <v>259.35000000000002</v>
      </c>
      <c r="R12" s="454">
        <f t="shared" si="7"/>
        <v>239.39999999999998</v>
      </c>
      <c r="S12" s="454">
        <f t="shared" si="8"/>
        <v>13.513513513513487</v>
      </c>
      <c r="T12" s="417">
        <f t="shared" si="9"/>
        <v>319.20000000000005</v>
      </c>
      <c r="U12" s="420">
        <f t="shared" si="10"/>
        <v>279.29999999999995</v>
      </c>
      <c r="V12" s="418">
        <f t="shared" si="11"/>
        <v>21.817754814466895</v>
      </c>
    </row>
    <row r="13" spans="1:22" ht="27" customHeight="1" thickBot="1">
      <c r="B13" s="702" t="s">
        <v>691</v>
      </c>
      <c r="C13" s="703"/>
      <c r="D13" s="411">
        <v>90</v>
      </c>
      <c r="E13" s="412">
        <v>3000</v>
      </c>
      <c r="F13" s="413">
        <f t="shared" si="0"/>
        <v>456</v>
      </c>
      <c r="G13" s="422" t="s">
        <v>737</v>
      </c>
      <c r="H13" s="417">
        <v>20.13</v>
      </c>
      <c r="I13" s="417">
        <f t="shared" si="1"/>
        <v>603.9</v>
      </c>
      <c r="J13" s="420">
        <f t="shared" si="2"/>
        <v>392.53500000000003</v>
      </c>
      <c r="K13" s="417">
        <v>480</v>
      </c>
      <c r="L13" s="420">
        <f t="shared" si="3"/>
        <v>312</v>
      </c>
      <c r="M13" s="436">
        <f t="shared" si="12"/>
        <v>456</v>
      </c>
      <c r="N13" s="417">
        <v>6</v>
      </c>
      <c r="O13" s="306">
        <v>230.07</v>
      </c>
      <c r="P13" s="417">
        <f t="shared" si="5"/>
        <v>232.07</v>
      </c>
      <c r="Q13" s="420">
        <f t="shared" si="6"/>
        <v>296.40000000000003</v>
      </c>
      <c r="R13" s="454">
        <f t="shared" si="7"/>
        <v>273.59999999999997</v>
      </c>
      <c r="S13" s="454">
        <f t="shared" si="8"/>
        <v>18.92032859564479</v>
      </c>
      <c r="T13" s="417">
        <f t="shared" si="9"/>
        <v>364.8</v>
      </c>
      <c r="U13" s="420">
        <f t="shared" si="10"/>
        <v>319.2</v>
      </c>
      <c r="V13" s="418">
        <f t="shared" si="11"/>
        <v>27.720084457275846</v>
      </c>
    </row>
    <row r="14" spans="1:22" ht="24.75" customHeight="1" thickBot="1">
      <c r="B14" s="704" t="s">
        <v>692</v>
      </c>
      <c r="C14" s="705"/>
      <c r="D14" s="408">
        <v>90</v>
      </c>
      <c r="E14" s="409">
        <v>1000</v>
      </c>
      <c r="F14" s="410">
        <f t="shared" si="0"/>
        <v>152</v>
      </c>
      <c r="G14" s="424" t="s">
        <v>737</v>
      </c>
      <c r="H14" s="417">
        <v>6.71</v>
      </c>
      <c r="I14" s="417">
        <f t="shared" si="1"/>
        <v>201.3</v>
      </c>
      <c r="J14" s="420">
        <f t="shared" si="2"/>
        <v>130.845</v>
      </c>
      <c r="K14" s="417">
        <v>160</v>
      </c>
      <c r="L14" s="420">
        <f t="shared" si="3"/>
        <v>104</v>
      </c>
      <c r="M14" s="436">
        <f t="shared" si="12"/>
        <v>152</v>
      </c>
      <c r="N14" s="417">
        <v>2</v>
      </c>
      <c r="O14" s="306">
        <v>76.69</v>
      </c>
      <c r="P14" s="417">
        <f t="shared" si="5"/>
        <v>78.69</v>
      </c>
      <c r="Q14" s="420">
        <f t="shared" si="6"/>
        <v>98.8</v>
      </c>
      <c r="R14" s="454">
        <f t="shared" si="7"/>
        <v>91.2</v>
      </c>
      <c r="S14" s="454">
        <f t="shared" si="8"/>
        <v>18.920328595644804</v>
      </c>
      <c r="T14" s="417">
        <f t="shared" si="9"/>
        <v>121.60000000000001</v>
      </c>
      <c r="U14" s="420">
        <f t="shared" si="10"/>
        <v>106.39999999999999</v>
      </c>
      <c r="V14" s="418">
        <f t="shared" si="11"/>
        <v>25.555979158724114</v>
      </c>
    </row>
    <row r="15" spans="1:22" ht="49.5" customHeight="1" thickBot="1">
      <c r="B15" s="702" t="s">
        <v>693</v>
      </c>
      <c r="C15" s="703"/>
      <c r="D15" s="411">
        <v>90</v>
      </c>
      <c r="E15" s="412"/>
      <c r="F15" s="413">
        <f t="shared" si="0"/>
        <v>58.9</v>
      </c>
      <c r="G15" s="71" t="s">
        <v>737</v>
      </c>
      <c r="H15" s="417">
        <v>2.84</v>
      </c>
      <c r="I15" s="417">
        <f t="shared" si="1"/>
        <v>85.199999999999989</v>
      </c>
      <c r="J15" s="420">
        <f t="shared" si="2"/>
        <v>55.379999999999995</v>
      </c>
      <c r="K15" s="417">
        <v>62</v>
      </c>
      <c r="L15" s="420">
        <f t="shared" si="3"/>
        <v>40.300000000000004</v>
      </c>
      <c r="M15" s="436">
        <f t="shared" si="12"/>
        <v>58.9</v>
      </c>
      <c r="N15" s="417">
        <v>0.8</v>
      </c>
      <c r="O15" s="306">
        <v>30.68</v>
      </c>
      <c r="P15" s="417">
        <f t="shared" si="5"/>
        <v>32.68</v>
      </c>
      <c r="Q15" s="420">
        <f t="shared" si="6"/>
        <v>38.285000000000004</v>
      </c>
      <c r="R15" s="454">
        <f t="shared" si="7"/>
        <v>35.339999999999996</v>
      </c>
      <c r="S15" s="454">
        <f t="shared" si="8"/>
        <v>15.189048239895683</v>
      </c>
      <c r="T15" s="417">
        <f t="shared" si="9"/>
        <v>47.120000000000005</v>
      </c>
      <c r="U15" s="420">
        <f t="shared" si="10"/>
        <v>41.23</v>
      </c>
      <c r="V15" s="418">
        <f t="shared" si="11"/>
        <v>17.151162790697683</v>
      </c>
    </row>
    <row r="16" spans="1:22" ht="49.5" customHeight="1" thickBot="1">
      <c r="B16" s="704" t="s">
        <v>694</v>
      </c>
      <c r="C16" s="705"/>
      <c r="D16" s="408">
        <v>90</v>
      </c>
      <c r="E16" s="409" t="s">
        <v>23</v>
      </c>
      <c r="F16" s="410">
        <f t="shared" si="0"/>
        <v>156.75</v>
      </c>
      <c r="G16" s="70" t="s">
        <v>737</v>
      </c>
      <c r="H16" s="417">
        <v>6.56</v>
      </c>
      <c r="I16" s="417">
        <f t="shared" si="1"/>
        <v>196.79999999999998</v>
      </c>
      <c r="J16" s="420">
        <f t="shared" si="2"/>
        <v>127.91999999999999</v>
      </c>
      <c r="K16" s="417">
        <v>165</v>
      </c>
      <c r="L16" s="420">
        <f t="shared" si="3"/>
        <v>107.25</v>
      </c>
      <c r="M16" s="436">
        <f t="shared" si="12"/>
        <v>156.75</v>
      </c>
      <c r="N16" s="417">
        <v>1.95</v>
      </c>
      <c r="O16" s="306">
        <v>74.77</v>
      </c>
      <c r="P16" s="417">
        <f t="shared" si="5"/>
        <v>76.77</v>
      </c>
      <c r="Q16" s="420">
        <f t="shared" si="6"/>
        <v>101.8875</v>
      </c>
      <c r="R16" s="454">
        <f t="shared" si="7"/>
        <v>94.05</v>
      </c>
      <c r="S16" s="454">
        <f t="shared" si="8"/>
        <v>25.78574294503143</v>
      </c>
      <c r="T16" s="417">
        <f t="shared" si="9"/>
        <v>125.4</v>
      </c>
      <c r="U16" s="420">
        <f t="shared" si="10"/>
        <v>109.72499999999999</v>
      </c>
      <c r="V16" s="418">
        <f t="shared" si="11"/>
        <v>32.717858538491612</v>
      </c>
    </row>
    <row r="17" spans="1:22" ht="49.5" customHeight="1" thickBot="1">
      <c r="B17" s="702" t="s">
        <v>695</v>
      </c>
      <c r="C17" s="703"/>
      <c r="D17" s="411">
        <v>90</v>
      </c>
      <c r="E17" s="412" t="s">
        <v>23</v>
      </c>
      <c r="F17" s="413">
        <f t="shared" si="0"/>
        <v>175.75</v>
      </c>
      <c r="G17" s="71" t="s">
        <v>737</v>
      </c>
      <c r="H17" s="417">
        <v>7.54</v>
      </c>
      <c r="I17" s="417">
        <f t="shared" si="1"/>
        <v>226.2</v>
      </c>
      <c r="J17" s="420">
        <f t="shared" si="2"/>
        <v>147.03</v>
      </c>
      <c r="K17" s="417">
        <v>185</v>
      </c>
      <c r="L17" s="420">
        <f t="shared" si="3"/>
        <v>120.25</v>
      </c>
      <c r="M17" s="436">
        <f t="shared" si="12"/>
        <v>175.75</v>
      </c>
      <c r="N17" s="417">
        <v>2.15</v>
      </c>
      <c r="O17" s="306">
        <v>82.44</v>
      </c>
      <c r="P17" s="417">
        <f t="shared" si="5"/>
        <v>84.44</v>
      </c>
      <c r="Q17" s="420">
        <f t="shared" si="6"/>
        <v>114.2375</v>
      </c>
      <c r="R17" s="454">
        <f t="shared" si="7"/>
        <v>105.45</v>
      </c>
      <c r="S17" s="454">
        <f t="shared" si="8"/>
        <v>27.911208151382823</v>
      </c>
      <c r="T17" s="417">
        <f t="shared" si="9"/>
        <v>140.6</v>
      </c>
      <c r="U17" s="420">
        <f t="shared" si="10"/>
        <v>123.02499999999999</v>
      </c>
      <c r="V17" s="418">
        <f t="shared" si="11"/>
        <v>35.2883704405495</v>
      </c>
    </row>
    <row r="18" spans="1:22" ht="49.5" customHeight="1" thickBot="1">
      <c r="B18" s="710" t="s">
        <v>772</v>
      </c>
      <c r="C18" s="711"/>
      <c r="D18" s="711"/>
      <c r="E18" s="712"/>
      <c r="F18" s="473" t="s">
        <v>769</v>
      </c>
      <c r="G18" s="106" t="s">
        <v>771</v>
      </c>
      <c r="H18" s="417"/>
      <c r="I18" s="417">
        <f t="shared" si="1"/>
        <v>0</v>
      </c>
      <c r="J18" s="420">
        <f t="shared" si="2"/>
        <v>0</v>
      </c>
      <c r="K18" s="417"/>
      <c r="L18" s="420">
        <f t="shared" si="3"/>
        <v>0</v>
      </c>
      <c r="M18" s="417"/>
      <c r="N18" s="417"/>
      <c r="O18" s="417">
        <v>3.82</v>
      </c>
      <c r="P18" s="417">
        <f t="shared" si="5"/>
        <v>5.82</v>
      </c>
      <c r="Q18" s="420"/>
      <c r="R18" s="454"/>
      <c r="S18" s="454"/>
      <c r="T18" s="417"/>
      <c r="U18" s="420"/>
      <c r="V18" s="418"/>
    </row>
    <row r="19" spans="1:22" ht="49.5" customHeight="1" thickBot="1">
      <c r="B19" s="713" t="s">
        <v>773</v>
      </c>
      <c r="C19" s="714"/>
      <c r="D19" s="714"/>
      <c r="E19" s="715"/>
      <c r="F19" s="474" t="s">
        <v>770</v>
      </c>
      <c r="G19" s="103" t="s">
        <v>771</v>
      </c>
      <c r="H19" s="417"/>
      <c r="I19" s="417"/>
      <c r="J19" s="420"/>
      <c r="K19" s="417"/>
      <c r="L19" s="420"/>
      <c r="M19" s="417"/>
      <c r="N19" s="417"/>
      <c r="O19" s="417">
        <v>6.68</v>
      </c>
      <c r="P19" s="417">
        <f t="shared" si="5"/>
        <v>8.68</v>
      </c>
      <c r="Q19" s="420"/>
      <c r="R19" s="454"/>
      <c r="S19" s="454"/>
      <c r="T19" s="417"/>
      <c r="U19" s="420"/>
      <c r="V19" s="418"/>
    </row>
    <row r="20" spans="1:22" ht="49.5" customHeight="1"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53"/>
      <c r="S20" s="453"/>
      <c r="T20" s="417"/>
      <c r="U20" s="416"/>
      <c r="V20" s="418"/>
    </row>
    <row r="21" spans="1:22" ht="49.5" customHeight="1" thickBot="1">
      <c r="A21" s="708" t="s">
        <v>712</v>
      </c>
      <c r="B21" s="708"/>
      <c r="C21" s="708"/>
      <c r="D21" s="708"/>
      <c r="E21" s="708"/>
      <c r="F21" s="708"/>
      <c r="G21" s="708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53"/>
      <c r="S21" s="453"/>
      <c r="T21" s="417"/>
      <c r="U21" s="416"/>
      <c r="V21" s="418"/>
    </row>
    <row r="22" spans="1:22" ht="25.5" customHeight="1" thickBot="1">
      <c r="A22" s="718" t="s">
        <v>683</v>
      </c>
      <c r="B22" s="719" t="s">
        <v>28</v>
      </c>
      <c r="C22" s="720"/>
      <c r="D22" s="721"/>
      <c r="E22" s="721"/>
      <c r="F22" s="709" t="s">
        <v>19</v>
      </c>
      <c r="G22" s="709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53"/>
      <c r="S22" s="453"/>
      <c r="T22" s="417"/>
      <c r="U22" s="416"/>
      <c r="V22" s="418"/>
    </row>
    <row r="23" spans="1:22" ht="33" customHeight="1" thickBot="1">
      <c r="A23" s="718"/>
      <c r="B23" s="706" t="s">
        <v>28</v>
      </c>
      <c r="C23" s="707"/>
      <c r="D23" s="421" t="s">
        <v>107</v>
      </c>
      <c r="E23" s="421" t="s">
        <v>6</v>
      </c>
      <c r="F23" s="421" t="s">
        <v>710</v>
      </c>
      <c r="G23" s="414" t="s">
        <v>4</v>
      </c>
      <c r="H23" s="417" t="s">
        <v>717</v>
      </c>
      <c r="I23" s="417" t="s">
        <v>766</v>
      </c>
      <c r="J23" s="417" t="s">
        <v>767</v>
      </c>
      <c r="K23" s="417"/>
      <c r="L23" s="417"/>
      <c r="M23" s="417"/>
      <c r="N23" s="417"/>
      <c r="O23" s="417"/>
      <c r="P23" s="417"/>
      <c r="Q23" s="417"/>
      <c r="R23" s="453"/>
      <c r="S23" s="453"/>
      <c r="T23" s="417"/>
      <c r="U23" s="416"/>
      <c r="V23" s="418"/>
    </row>
    <row r="24" spans="1:22" ht="49.5" customHeight="1" thickBot="1">
      <c r="B24" s="702" t="s">
        <v>696</v>
      </c>
      <c r="C24" s="703"/>
      <c r="D24" s="411">
        <v>150</v>
      </c>
      <c r="E24" s="412">
        <v>4000</v>
      </c>
      <c r="F24" s="413">
        <f>J24</f>
        <v>682.07333333333338</v>
      </c>
      <c r="G24" s="71" t="s">
        <v>650</v>
      </c>
      <c r="H24" s="418">
        <v>372.04</v>
      </c>
      <c r="I24" s="418">
        <f>H24*1.1</f>
        <v>409.24400000000003</v>
      </c>
      <c r="J24" s="418">
        <f>I24/0.6</f>
        <v>682.07333333333338</v>
      </c>
      <c r="K24" s="417"/>
      <c r="L24" s="417"/>
      <c r="M24" s="418"/>
      <c r="N24" s="417"/>
      <c r="O24" s="417"/>
      <c r="P24" s="417"/>
      <c r="Q24" s="417"/>
      <c r="R24" s="453"/>
      <c r="S24" s="453"/>
      <c r="T24" s="417"/>
      <c r="U24" s="416"/>
      <c r="V24" s="418"/>
    </row>
    <row r="25" spans="1:22" ht="24.75" customHeight="1" thickBot="1">
      <c r="B25" s="704" t="s">
        <v>697</v>
      </c>
      <c r="C25" s="705"/>
      <c r="D25" s="408">
        <v>150</v>
      </c>
      <c r="E25" s="409" t="s">
        <v>23</v>
      </c>
      <c r="F25" s="410">
        <f t="shared" ref="F25:F36" si="13">J25</f>
        <v>83.361666666666679</v>
      </c>
      <c r="G25" s="70" t="s">
        <v>650</v>
      </c>
      <c r="H25" s="418">
        <v>45.47</v>
      </c>
      <c r="I25" s="418">
        <f t="shared" ref="I25:I36" si="14">H25*1.1</f>
        <v>50.017000000000003</v>
      </c>
      <c r="J25" s="418">
        <f t="shared" ref="J25:J36" si="15">I25/0.6</f>
        <v>83.361666666666679</v>
      </c>
      <c r="K25" s="417"/>
      <c r="L25" s="417"/>
      <c r="M25" s="418"/>
      <c r="N25" s="417"/>
      <c r="O25" s="417"/>
      <c r="P25" s="417"/>
      <c r="Q25" s="417"/>
      <c r="R25" s="453"/>
      <c r="S25" s="453"/>
      <c r="T25" s="417"/>
      <c r="U25" s="416"/>
      <c r="V25" s="418"/>
    </row>
    <row r="26" spans="1:22" ht="27.75" customHeight="1" thickBot="1">
      <c r="B26" s="702" t="s">
        <v>698</v>
      </c>
      <c r="C26" s="703"/>
      <c r="D26" s="411">
        <v>150</v>
      </c>
      <c r="E26" s="412" t="s">
        <v>23</v>
      </c>
      <c r="F26" s="413">
        <f t="shared" si="13"/>
        <v>78.833333333333343</v>
      </c>
      <c r="G26" s="71" t="s">
        <v>650</v>
      </c>
      <c r="H26" s="418">
        <v>43</v>
      </c>
      <c r="I26" s="418">
        <f t="shared" si="14"/>
        <v>47.300000000000004</v>
      </c>
      <c r="J26" s="418">
        <f t="shared" si="15"/>
        <v>78.833333333333343</v>
      </c>
      <c r="K26" s="417"/>
      <c r="L26" s="417"/>
      <c r="M26" s="418"/>
      <c r="N26" s="417"/>
      <c r="O26" s="417"/>
      <c r="P26" s="417"/>
      <c r="Q26" s="417"/>
      <c r="R26" s="453"/>
      <c r="S26" s="453"/>
      <c r="T26" s="417"/>
      <c r="U26" s="416"/>
      <c r="V26" s="418"/>
    </row>
    <row r="27" spans="1:22" ht="49.5" customHeight="1" thickBot="1">
      <c r="B27" s="704" t="s">
        <v>699</v>
      </c>
      <c r="C27" s="705"/>
      <c r="D27" s="408">
        <v>150</v>
      </c>
      <c r="E27" s="409" t="s">
        <v>23</v>
      </c>
      <c r="F27" s="410">
        <f t="shared" si="13"/>
        <v>73.333333333333343</v>
      </c>
      <c r="G27" s="70" t="s">
        <v>650</v>
      </c>
      <c r="H27" s="418">
        <v>40</v>
      </c>
      <c r="I27" s="418">
        <f t="shared" si="14"/>
        <v>44</v>
      </c>
      <c r="J27" s="418">
        <f t="shared" si="15"/>
        <v>73.333333333333343</v>
      </c>
      <c r="K27" s="417"/>
      <c r="L27" s="417"/>
      <c r="M27" s="418"/>
      <c r="N27" s="417"/>
      <c r="O27" s="417"/>
      <c r="P27" s="417"/>
      <c r="Q27" s="417"/>
      <c r="R27" s="453"/>
      <c r="S27" s="453"/>
      <c r="T27" s="417"/>
      <c r="U27" s="416"/>
      <c r="V27" s="418"/>
    </row>
    <row r="28" spans="1:22" ht="49.5" customHeight="1" thickBot="1">
      <c r="B28" s="702" t="s">
        <v>700</v>
      </c>
      <c r="C28" s="703"/>
      <c r="D28" s="411">
        <v>150</v>
      </c>
      <c r="E28" s="412" t="s">
        <v>23</v>
      </c>
      <c r="F28" s="413">
        <f t="shared" si="13"/>
        <v>71.995000000000019</v>
      </c>
      <c r="G28" s="71" t="s">
        <v>650</v>
      </c>
      <c r="H28" s="418">
        <v>39.270000000000003</v>
      </c>
      <c r="I28" s="418">
        <f t="shared" si="14"/>
        <v>43.19700000000001</v>
      </c>
      <c r="J28" s="418">
        <f t="shared" si="15"/>
        <v>71.995000000000019</v>
      </c>
      <c r="K28" s="417"/>
      <c r="L28" s="417"/>
      <c r="M28" s="418"/>
      <c r="N28" s="417"/>
      <c r="O28" s="417"/>
      <c r="P28" s="417"/>
      <c r="Q28" s="417"/>
      <c r="R28" s="453"/>
      <c r="S28" s="453"/>
      <c r="T28" s="417"/>
      <c r="U28" s="416"/>
      <c r="V28" s="418"/>
    </row>
    <row r="29" spans="1:22" ht="49.5" customHeight="1" thickBot="1">
      <c r="B29" s="704" t="s">
        <v>701</v>
      </c>
      <c r="C29" s="705"/>
      <c r="D29" s="408">
        <v>150</v>
      </c>
      <c r="E29" s="409" t="s">
        <v>23</v>
      </c>
      <c r="F29" s="410">
        <f t="shared" si="13"/>
        <v>98.523333333333341</v>
      </c>
      <c r="G29" s="70" t="s">
        <v>650</v>
      </c>
      <c r="H29" s="418">
        <v>53.74</v>
      </c>
      <c r="I29" s="418">
        <f t="shared" si="14"/>
        <v>59.114000000000004</v>
      </c>
      <c r="J29" s="418">
        <f t="shared" si="15"/>
        <v>98.523333333333341</v>
      </c>
      <c r="K29" s="417"/>
      <c r="L29" s="417"/>
      <c r="M29" s="418"/>
      <c r="N29" s="417"/>
      <c r="O29" s="417"/>
      <c r="P29" s="417"/>
      <c r="Q29" s="417"/>
      <c r="R29" s="453"/>
      <c r="S29" s="453"/>
      <c r="T29" s="417"/>
      <c r="U29" s="416"/>
      <c r="V29" s="418"/>
    </row>
    <row r="30" spans="1:22" ht="49.5" customHeight="1" thickBot="1">
      <c r="B30" s="702" t="s">
        <v>702</v>
      </c>
      <c r="C30" s="703"/>
      <c r="D30" s="411">
        <v>150</v>
      </c>
      <c r="E30" s="412"/>
      <c r="F30" s="413">
        <f t="shared" si="13"/>
        <v>189.45666666666668</v>
      </c>
      <c r="G30" s="71" t="s">
        <v>650</v>
      </c>
      <c r="H30" s="418">
        <v>103.34</v>
      </c>
      <c r="I30" s="418">
        <f t="shared" si="14"/>
        <v>113.67400000000001</v>
      </c>
      <c r="J30" s="418">
        <f t="shared" si="15"/>
        <v>189.45666666666668</v>
      </c>
      <c r="K30" s="417"/>
      <c r="L30" s="417"/>
      <c r="M30" s="418"/>
      <c r="N30" s="417"/>
      <c r="O30" s="417"/>
      <c r="P30" s="417"/>
      <c r="Q30" s="417"/>
      <c r="R30" s="453"/>
      <c r="S30" s="453"/>
      <c r="T30" s="417"/>
      <c r="U30" s="416"/>
      <c r="V30" s="418"/>
    </row>
    <row r="31" spans="1:22" ht="49.5" customHeight="1" thickBot="1">
      <c r="B31" s="704" t="s">
        <v>703</v>
      </c>
      <c r="C31" s="705"/>
      <c r="D31" s="408">
        <v>150</v>
      </c>
      <c r="E31" s="409"/>
      <c r="F31" s="410">
        <f t="shared" si="13"/>
        <v>458.33333333333337</v>
      </c>
      <c r="G31" s="70" t="s">
        <v>650</v>
      </c>
      <c r="H31" s="418">
        <v>250</v>
      </c>
      <c r="I31" s="418">
        <f t="shared" si="14"/>
        <v>275</v>
      </c>
      <c r="J31" s="418">
        <f t="shared" si="15"/>
        <v>458.33333333333337</v>
      </c>
      <c r="K31" s="417"/>
      <c r="L31" s="417"/>
      <c r="M31" s="418"/>
      <c r="N31" s="417"/>
      <c r="O31" s="417"/>
      <c r="P31" s="417"/>
      <c r="Q31" s="417"/>
      <c r="R31" s="453"/>
      <c r="S31" s="453"/>
      <c r="T31" s="417"/>
      <c r="U31" s="416"/>
      <c r="V31" s="418"/>
    </row>
    <row r="32" spans="1:22" ht="24" customHeight="1" thickBot="1">
      <c r="B32" s="702" t="s">
        <v>705</v>
      </c>
      <c r="C32" s="703"/>
      <c r="D32" s="411">
        <v>100</v>
      </c>
      <c r="E32" s="412">
        <v>3000</v>
      </c>
      <c r="F32" s="413">
        <f t="shared" si="13"/>
        <v>568.38833333333343</v>
      </c>
      <c r="G32" s="71" t="s">
        <v>650</v>
      </c>
      <c r="H32" s="418">
        <v>310.02999999999997</v>
      </c>
      <c r="I32" s="418">
        <f t="shared" si="14"/>
        <v>341.03300000000002</v>
      </c>
      <c r="J32" s="418">
        <f t="shared" si="15"/>
        <v>568.38833333333343</v>
      </c>
      <c r="K32" s="417"/>
      <c r="L32" s="417"/>
      <c r="M32" s="418"/>
      <c r="N32" s="417"/>
      <c r="O32" s="417"/>
      <c r="P32" s="417"/>
      <c r="Q32" s="417"/>
      <c r="R32" s="453"/>
      <c r="S32" s="453"/>
      <c r="T32" s="417"/>
      <c r="U32" s="416"/>
      <c r="V32" s="418"/>
    </row>
    <row r="33" spans="2:22" ht="27.75" customHeight="1" thickBot="1">
      <c r="B33" s="704" t="s">
        <v>706</v>
      </c>
      <c r="C33" s="705"/>
      <c r="D33" s="408">
        <v>100</v>
      </c>
      <c r="E33" s="409">
        <v>1000</v>
      </c>
      <c r="F33" s="410">
        <f t="shared" si="13"/>
        <v>189.45666666666668</v>
      </c>
      <c r="G33" s="70" t="s">
        <v>650</v>
      </c>
      <c r="H33" s="418">
        <v>103.34</v>
      </c>
      <c r="I33" s="418">
        <f t="shared" si="14"/>
        <v>113.67400000000001</v>
      </c>
      <c r="J33" s="418">
        <f t="shared" si="15"/>
        <v>189.45666666666668</v>
      </c>
      <c r="K33" s="417"/>
      <c r="L33" s="417"/>
      <c r="M33" s="418"/>
      <c r="N33" s="417"/>
      <c r="O33" s="417"/>
      <c r="P33" s="417"/>
      <c r="Q33" s="417"/>
      <c r="R33" s="453"/>
      <c r="S33" s="453"/>
      <c r="T33" s="417"/>
      <c r="U33" s="416"/>
      <c r="V33" s="418"/>
    </row>
    <row r="34" spans="2:22" ht="49.5" customHeight="1" thickBot="1">
      <c r="B34" s="702" t="s">
        <v>707</v>
      </c>
      <c r="C34" s="703"/>
      <c r="D34" s="411">
        <v>100</v>
      </c>
      <c r="E34" s="412"/>
      <c r="F34" s="413">
        <f t="shared" si="13"/>
        <v>71.995000000000019</v>
      </c>
      <c r="G34" s="71" t="s">
        <v>650</v>
      </c>
      <c r="H34" s="418">
        <v>39.270000000000003</v>
      </c>
      <c r="I34" s="418">
        <f t="shared" si="14"/>
        <v>43.19700000000001</v>
      </c>
      <c r="J34" s="418">
        <f t="shared" si="15"/>
        <v>71.995000000000019</v>
      </c>
      <c r="K34" s="417"/>
      <c r="L34" s="417"/>
      <c r="M34" s="418"/>
      <c r="N34" s="417"/>
      <c r="O34" s="417"/>
      <c r="P34" s="417"/>
      <c r="Q34" s="417"/>
      <c r="R34" s="453"/>
      <c r="S34" s="453"/>
      <c r="T34" s="417"/>
      <c r="U34" s="416"/>
      <c r="V34" s="418"/>
    </row>
    <row r="35" spans="2:22" ht="49.5" customHeight="1" thickBot="1">
      <c r="B35" s="704" t="s">
        <v>708</v>
      </c>
      <c r="C35" s="705"/>
      <c r="D35" s="408">
        <v>100</v>
      </c>
      <c r="E35" s="409" t="s">
        <v>23</v>
      </c>
      <c r="F35" s="410">
        <f t="shared" si="13"/>
        <v>189.45666666666668</v>
      </c>
      <c r="G35" s="70" t="s">
        <v>650</v>
      </c>
      <c r="H35" s="418">
        <v>103.34</v>
      </c>
      <c r="I35" s="418">
        <f t="shared" si="14"/>
        <v>113.67400000000001</v>
      </c>
      <c r="J35" s="418">
        <f t="shared" si="15"/>
        <v>189.45666666666668</v>
      </c>
      <c r="K35" s="417"/>
      <c r="L35" s="417"/>
      <c r="M35" s="418"/>
      <c r="N35" s="417"/>
      <c r="O35" s="417"/>
      <c r="P35" s="417"/>
      <c r="Q35" s="417"/>
      <c r="R35" s="453"/>
      <c r="S35" s="453"/>
      <c r="T35" s="417"/>
      <c r="U35" s="416"/>
      <c r="V35" s="418"/>
    </row>
    <row r="36" spans="2:22" ht="49.5" customHeight="1" thickBot="1">
      <c r="B36" s="702" t="s">
        <v>709</v>
      </c>
      <c r="C36" s="703"/>
      <c r="D36" s="411">
        <v>100</v>
      </c>
      <c r="E36" s="412" t="s">
        <v>23</v>
      </c>
      <c r="F36" s="413">
        <f t="shared" si="13"/>
        <v>210.83333333333337</v>
      </c>
      <c r="G36" s="71" t="s">
        <v>650</v>
      </c>
      <c r="H36" s="418">
        <v>115</v>
      </c>
      <c r="I36" s="418">
        <f t="shared" si="14"/>
        <v>126.50000000000001</v>
      </c>
      <c r="J36" s="418">
        <f t="shared" si="15"/>
        <v>210.83333333333337</v>
      </c>
      <c r="K36" s="417"/>
      <c r="L36" s="417"/>
      <c r="M36" s="418"/>
      <c r="N36" s="417"/>
      <c r="O36" s="417"/>
      <c r="P36" s="417"/>
      <c r="Q36" s="417"/>
      <c r="R36" s="453"/>
      <c r="S36" s="453"/>
      <c r="T36" s="417"/>
      <c r="U36" s="416"/>
      <c r="V36" s="418"/>
    </row>
    <row r="37" spans="2:22">
      <c r="B37" s="13"/>
      <c r="C37" s="9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</row>
    <row r="38" spans="2:22">
      <c r="B38" s="13"/>
      <c r="C38" s="9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</row>
    <row r="39" spans="2:22"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</row>
    <row r="40" spans="2:22"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</row>
    <row r="41" spans="2:22"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</row>
  </sheetData>
  <sheetProtection password="CC4F" sheet="1" objects="1" scenarios="1"/>
  <mergeCells count="46">
    <mergeCell ref="P2:P4"/>
    <mergeCell ref="Q2:Q4"/>
    <mergeCell ref="T2:T4"/>
    <mergeCell ref="U2:U4"/>
    <mergeCell ref="V2:V4"/>
    <mergeCell ref="R2:R4"/>
    <mergeCell ref="A2:G2"/>
    <mergeCell ref="A22:A23"/>
    <mergeCell ref="B22:C22"/>
    <mergeCell ref="D22:E22"/>
    <mergeCell ref="A3:A4"/>
    <mergeCell ref="B14:C14"/>
    <mergeCell ref="B16:C16"/>
    <mergeCell ref="B17:C17"/>
    <mergeCell ref="B4:C4"/>
    <mergeCell ref="B5:C5"/>
    <mergeCell ref="B6:C6"/>
    <mergeCell ref="B7:C7"/>
    <mergeCell ref="B8:C8"/>
    <mergeCell ref="B3:C3"/>
    <mergeCell ref="F3:G3"/>
    <mergeCell ref="D3:E3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32:C32"/>
    <mergeCell ref="B26:C26"/>
    <mergeCell ref="B9:C9"/>
    <mergeCell ref="B10:C10"/>
    <mergeCell ref="B11:C11"/>
    <mergeCell ref="B12:C12"/>
    <mergeCell ref="B13:C13"/>
    <mergeCell ref="B15:C15"/>
    <mergeCell ref="B23:C23"/>
    <mergeCell ref="A21:G21"/>
    <mergeCell ref="B24:C24"/>
    <mergeCell ref="B25:C25"/>
    <mergeCell ref="F22:G22"/>
    <mergeCell ref="B18:E18"/>
    <mergeCell ref="B19:E19"/>
  </mergeCells>
  <pageMargins left="0.39370078740157483" right="0.39370078740157483" top="0.39370078740157483" bottom="0.39370078740157483" header="0.51181102362204722" footer="0.51181102362204722"/>
  <pageSetup paperSize="9" fitToWidth="0" fitToHeight="0" orientation="portrait" r:id="rId1"/>
  <headerFooter>
    <oddHeader>&amp;L&amp;G&amp;R&amp;"Arial Cyr,полужирный курсив" 02160, Украина
 г. Киев, ул. Вискозная, 17
 тел.: 503-77-88
 www.stalex.ua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BA47"/>
  <sheetViews>
    <sheetView view="pageBreakPreview" zoomScale="90" zoomScaleNormal="110" zoomScaleSheetLayoutView="90" workbookViewId="0"/>
  </sheetViews>
  <sheetFormatPr defaultColWidth="9" defaultRowHeight="12.75" outlineLevelCol="1"/>
  <cols>
    <col min="1" max="1" width="12.28515625" customWidth="1"/>
    <col min="2" max="2" width="50.140625" customWidth="1"/>
    <col min="3" max="3" width="7.85546875" customWidth="1"/>
    <col min="4" max="4" width="5.5703125" customWidth="1"/>
    <col min="5" max="5" width="6.7109375" customWidth="1"/>
    <col min="6" max="6" width="9.5703125" customWidth="1"/>
    <col min="7" max="7" width="10.85546875" customWidth="1"/>
    <col min="8" max="8" width="9" hidden="1" customWidth="1" outlineLevel="1"/>
    <col min="9" max="11" width="1.28515625" hidden="1" customWidth="1" outlineLevel="1"/>
    <col min="12" max="21" width="0.42578125" hidden="1" customWidth="1" outlineLevel="1"/>
    <col min="22" max="22" width="9.28515625" hidden="1" customWidth="1" outlineLevel="1" collapsed="1"/>
    <col min="23" max="37" width="9.28515625" hidden="1" customWidth="1" outlineLevel="1"/>
    <col min="38" max="39" width="12.28515625" style="429" hidden="1" customWidth="1" outlineLevel="1"/>
    <col min="40" max="40" width="12.28515625" style="429" hidden="1" customWidth="1" outlineLevel="1" collapsed="1"/>
    <col min="41" max="44" width="9" hidden="1" customWidth="1" outlineLevel="1"/>
    <col min="45" max="45" width="11.42578125" hidden="1" customWidth="1" outlineLevel="1"/>
    <col min="46" max="46" width="11.85546875" hidden="1" customWidth="1" collapsed="1"/>
    <col min="47" max="47" width="17.140625" hidden="1" customWidth="1"/>
    <col min="48" max="48" width="15.28515625" hidden="1" customWidth="1"/>
    <col min="49" max="49" width="18.85546875" hidden="1" customWidth="1"/>
    <col min="50" max="50" width="19.5703125" hidden="1" customWidth="1"/>
    <col min="51" max="51" width="15.140625" hidden="1" customWidth="1"/>
    <col min="52" max="52" width="9" hidden="1" customWidth="1"/>
    <col min="53" max="53" width="11.7109375" hidden="1" customWidth="1"/>
    <col min="54" max="59" width="9" customWidth="1"/>
  </cols>
  <sheetData>
    <row r="1" spans="1:53" ht="15" customHeight="1" thickBot="1">
      <c r="A1" s="13"/>
    </row>
    <row r="2" spans="1:53" ht="32.25" customHeight="1" thickBot="1">
      <c r="A2" s="729" t="s">
        <v>216</v>
      </c>
      <c r="B2" s="729"/>
      <c r="C2" s="729"/>
      <c r="D2" s="729"/>
      <c r="E2" s="729"/>
      <c r="F2" s="729"/>
      <c r="G2" s="729"/>
      <c r="H2" s="229" t="s">
        <v>562</v>
      </c>
      <c r="I2" s="312"/>
      <c r="J2" s="312"/>
      <c r="R2" s="622" t="s">
        <v>563</v>
      </c>
      <c r="S2" s="622"/>
      <c r="T2" s="622"/>
      <c r="U2" s="622"/>
      <c r="AG2" s="730" t="s">
        <v>584</v>
      </c>
      <c r="AH2" s="731"/>
      <c r="AI2" s="731"/>
      <c r="AJ2" s="732"/>
      <c r="AW2" s="462" t="s">
        <v>750</v>
      </c>
      <c r="AX2" s="302" t="s">
        <v>751</v>
      </c>
    </row>
    <row r="3" spans="1:53" ht="25.5" customHeight="1" thickBot="1">
      <c r="A3" s="733" t="s">
        <v>28</v>
      </c>
      <c r="B3" s="734"/>
      <c r="C3" s="735" t="s">
        <v>3</v>
      </c>
      <c r="D3" s="735"/>
      <c r="E3" s="735"/>
      <c r="F3" s="735" t="s">
        <v>19</v>
      </c>
      <c r="G3" s="735"/>
      <c r="H3" s="230" t="s">
        <v>461</v>
      </c>
      <c r="I3" s="266" t="s">
        <v>496</v>
      </c>
      <c r="J3" s="266" t="s">
        <v>496</v>
      </c>
      <c r="K3" s="266" t="s">
        <v>496</v>
      </c>
      <c r="L3" s="267"/>
      <c r="M3" s="267" t="s">
        <v>564</v>
      </c>
      <c r="N3" s="267"/>
      <c r="O3" s="267"/>
      <c r="P3" s="267"/>
      <c r="R3" s="301" t="s">
        <v>565</v>
      </c>
      <c r="S3" s="301" t="s">
        <v>566</v>
      </c>
      <c r="T3" s="301" t="s">
        <v>567</v>
      </c>
      <c r="U3" s="301" t="s">
        <v>568</v>
      </c>
      <c r="V3" s="304"/>
      <c r="W3" s="229" t="s">
        <v>506</v>
      </c>
      <c r="X3" s="229" t="s">
        <v>558</v>
      </c>
      <c r="Y3" s="229" t="s">
        <v>558</v>
      </c>
      <c r="Z3" s="306" t="s">
        <v>579</v>
      </c>
      <c r="AA3" s="306" t="s">
        <v>579</v>
      </c>
      <c r="AB3" s="306" t="s">
        <v>585</v>
      </c>
      <c r="AC3" s="268" t="s">
        <v>586</v>
      </c>
      <c r="AD3" s="313" t="s">
        <v>585</v>
      </c>
      <c r="AE3" s="268" t="s">
        <v>587</v>
      </c>
      <c r="AF3" s="268" t="s">
        <v>588</v>
      </c>
      <c r="AG3" s="268" t="s">
        <v>589</v>
      </c>
      <c r="AH3" s="268" t="s">
        <v>590</v>
      </c>
      <c r="AI3" s="268" t="s">
        <v>591</v>
      </c>
      <c r="AJ3" s="229" t="s">
        <v>592</v>
      </c>
      <c r="AK3" s="145" t="s">
        <v>555</v>
      </c>
      <c r="AL3" s="430"/>
      <c r="AM3" s="430"/>
      <c r="AT3" t="s">
        <v>742</v>
      </c>
      <c r="AU3" s="347" t="s">
        <v>739</v>
      </c>
      <c r="AV3" s="347" t="s">
        <v>614</v>
      </c>
      <c r="AW3" s="347" t="s">
        <v>749</v>
      </c>
      <c r="AX3" s="347" t="s">
        <v>741</v>
      </c>
      <c r="AY3" s="347" t="s">
        <v>740</v>
      </c>
      <c r="BA3" s="347" t="s">
        <v>555</v>
      </c>
    </row>
    <row r="4" spans="1:53" ht="25.5" customHeight="1" thickBot="1">
      <c r="A4" s="565" t="s">
        <v>28</v>
      </c>
      <c r="B4" s="567"/>
      <c r="C4" s="452" t="s">
        <v>107</v>
      </c>
      <c r="D4" s="452" t="s">
        <v>6</v>
      </c>
      <c r="E4" s="452" t="s">
        <v>90</v>
      </c>
      <c r="F4" s="459" t="s">
        <v>744</v>
      </c>
      <c r="G4" s="21" t="s">
        <v>4</v>
      </c>
      <c r="H4" s="230" t="s">
        <v>495</v>
      </c>
      <c r="I4" s="314" t="s">
        <v>589</v>
      </c>
      <c r="J4" s="314" t="s">
        <v>591</v>
      </c>
      <c r="K4" s="266" t="s">
        <v>593</v>
      </c>
      <c r="L4" s="229" t="s">
        <v>551</v>
      </c>
      <c r="M4" s="229" t="s">
        <v>553</v>
      </c>
      <c r="N4" s="229" t="s">
        <v>569</v>
      </c>
      <c r="O4" s="229" t="s">
        <v>506</v>
      </c>
      <c r="P4" s="268" t="s">
        <v>570</v>
      </c>
      <c r="R4" s="145"/>
      <c r="S4" s="145"/>
      <c r="T4" s="145"/>
      <c r="U4" s="145"/>
      <c r="V4" s="229" t="s">
        <v>495</v>
      </c>
      <c r="W4" s="229" t="s">
        <v>576</v>
      </c>
      <c r="X4" s="306" t="s">
        <v>577</v>
      </c>
      <c r="Y4" s="308" t="s">
        <v>578</v>
      </c>
      <c r="Z4" s="306" t="s">
        <v>580</v>
      </c>
      <c r="AA4" s="306" t="s">
        <v>581</v>
      </c>
      <c r="AB4" s="306"/>
      <c r="AC4" s="145"/>
      <c r="AD4" s="313" t="s">
        <v>594</v>
      </c>
      <c r="AE4" s="268" t="s">
        <v>595</v>
      </c>
      <c r="AF4" s="268" t="s">
        <v>596</v>
      </c>
      <c r="AG4" s="145"/>
      <c r="AH4" s="145"/>
      <c r="AI4" s="145"/>
      <c r="AJ4" s="145"/>
      <c r="AK4" s="145"/>
      <c r="AL4" s="430" t="s">
        <v>730</v>
      </c>
      <c r="AM4" s="430" t="s">
        <v>731</v>
      </c>
      <c r="AN4" s="429" t="s">
        <v>732</v>
      </c>
      <c r="AO4" s="244" t="s">
        <v>495</v>
      </c>
      <c r="AP4" s="244"/>
      <c r="AQ4" s="244" t="s">
        <v>614</v>
      </c>
      <c r="AR4" s="244"/>
      <c r="AS4" s="244" t="s">
        <v>615</v>
      </c>
      <c r="AU4" s="456" t="s">
        <v>561</v>
      </c>
      <c r="AV4" s="390"/>
      <c r="AW4" s="390"/>
    </row>
    <row r="5" spans="1:53" ht="18" customHeight="1" thickBot="1">
      <c r="A5" s="725" t="s">
        <v>499</v>
      </c>
      <c r="B5" s="726"/>
      <c r="C5" s="101">
        <v>125</v>
      </c>
      <c r="D5" s="102" t="s">
        <v>23</v>
      </c>
      <c r="E5" s="102" t="s">
        <v>89</v>
      </c>
      <c r="F5" s="307">
        <f>SUM(AV5)</f>
        <v>110</v>
      </c>
      <c r="G5" s="103" t="s">
        <v>8</v>
      </c>
      <c r="H5" s="231">
        <v>109.22</v>
      </c>
      <c r="I5" s="315"/>
      <c r="J5" s="315"/>
      <c r="K5" s="316"/>
      <c r="L5" s="244"/>
      <c r="M5" s="244">
        <f t="shared" ref="M5:M45" si="0">SUM(H5*0.9)</f>
        <v>98.298000000000002</v>
      </c>
      <c r="N5" s="244">
        <f>SUM(M5*100/76)</f>
        <v>129.3394736842105</v>
      </c>
      <c r="O5" s="244">
        <f>SUM(M5*0.9)</f>
        <v>88.46820000000001</v>
      </c>
      <c r="P5" s="244">
        <f>SUM(O5-K5)</f>
        <v>88.46820000000001</v>
      </c>
      <c r="R5" s="244">
        <f>SUM(N5*0.95)</f>
        <v>122.87249999999997</v>
      </c>
      <c r="S5" s="244">
        <f t="shared" ref="S5:S11" si="1">SUM(R5*0.76)</f>
        <v>93.383099999999985</v>
      </c>
      <c r="T5" s="244">
        <f>SUM(S5*0.9)</f>
        <v>84.044789999999992</v>
      </c>
      <c r="U5" s="244">
        <f t="shared" ref="U5:U45" si="2">SUM(T5-K5)</f>
        <v>84.044789999999992</v>
      </c>
      <c r="V5" s="229">
        <v>52</v>
      </c>
      <c r="W5" s="244">
        <v>54</v>
      </c>
      <c r="X5" s="244">
        <f>SUM(W5*1.15)</f>
        <v>62.099999999999994</v>
      </c>
      <c r="Y5" s="309">
        <v>106.67</v>
      </c>
      <c r="Z5" s="244">
        <f>SUM(X5-Y5)</f>
        <v>-44.570000000000007</v>
      </c>
      <c r="AA5" s="244">
        <f>SUM(Y5*100/X5-100)</f>
        <v>71.771336553945275</v>
      </c>
      <c r="AB5" s="244">
        <f>SUM(X5*100/0.76/100)</f>
        <v>81.710526315789451</v>
      </c>
      <c r="AC5" s="229">
        <v>140.37</v>
      </c>
      <c r="AD5" s="317">
        <f>SUM(AC5*0.85)</f>
        <v>119.3145</v>
      </c>
      <c r="AE5" s="244">
        <f>SUM(AD5*0.76)</f>
        <v>90.679019999999994</v>
      </c>
      <c r="AF5" s="244">
        <f>SUM(AE5*0.9)</f>
        <v>81.611117999999991</v>
      </c>
      <c r="AG5" s="244"/>
      <c r="AH5" s="244"/>
      <c r="AI5" s="244">
        <v>52</v>
      </c>
      <c r="AJ5" s="244">
        <v>58</v>
      </c>
      <c r="AK5" s="244">
        <f>SUM(AF5-AJ5)</f>
        <v>23.611117999999991</v>
      </c>
      <c r="AL5" s="431"/>
      <c r="AM5" s="431"/>
      <c r="AN5" s="429">
        <v>60</v>
      </c>
      <c r="AO5" s="232">
        <v>60</v>
      </c>
      <c r="AP5" s="244"/>
      <c r="AQ5" s="244">
        <f>SUM(AO5*1.44)</f>
        <v>86.399999999999991</v>
      </c>
      <c r="AR5" s="244"/>
      <c r="AS5" s="244">
        <f>SUM(AQ5*0.76)</f>
        <v>65.663999999999987</v>
      </c>
      <c r="AU5" s="350">
        <v>60</v>
      </c>
      <c r="AV5" s="244">
        <f>SUM(AW5*100/60)</f>
        <v>110</v>
      </c>
      <c r="AW5" s="457">
        <f>SUM(AU5*1.1)</f>
        <v>66</v>
      </c>
      <c r="AX5" s="244">
        <f>SUM(AV5*0.65)</f>
        <v>71.5</v>
      </c>
      <c r="AY5" s="458">
        <f>SUM(F5*0.76)</f>
        <v>83.6</v>
      </c>
      <c r="BA5" s="458">
        <f>SUM(AW5-AY5)</f>
        <v>-17.599999999999994</v>
      </c>
    </row>
    <row r="6" spans="1:53" ht="18" customHeight="1" thickBot="1">
      <c r="A6" s="727" t="s">
        <v>497</v>
      </c>
      <c r="B6" s="728"/>
      <c r="C6" s="104">
        <v>125</v>
      </c>
      <c r="D6" s="105" t="s">
        <v>23</v>
      </c>
      <c r="E6" s="105" t="s">
        <v>89</v>
      </c>
      <c r="F6" s="341">
        <f t="shared" ref="F6:F45" si="3">SUM(AV6)</f>
        <v>128.33333333333334</v>
      </c>
      <c r="G6" s="106" t="s">
        <v>8</v>
      </c>
      <c r="H6" s="231">
        <v>109.22</v>
      </c>
      <c r="I6" s="315"/>
      <c r="J6" s="315"/>
      <c r="K6" s="318"/>
      <c r="L6" s="244"/>
      <c r="M6" s="244">
        <f t="shared" si="0"/>
        <v>98.298000000000002</v>
      </c>
      <c r="N6" s="244">
        <f t="shared" ref="N6:N45" si="4">SUM(M6*100/76)</f>
        <v>129.3394736842105</v>
      </c>
      <c r="O6" s="244">
        <f t="shared" ref="O6:O45" si="5">SUM(M6*0.9)</f>
        <v>88.46820000000001</v>
      </c>
      <c r="P6" s="244">
        <f t="shared" ref="P6:P45" si="6">SUM(O6-K6)</f>
        <v>88.46820000000001</v>
      </c>
      <c r="R6" s="244">
        <f t="shared" ref="R6:R41" si="7">SUM(N6*0.95)</f>
        <v>122.87249999999997</v>
      </c>
      <c r="S6" s="244">
        <f t="shared" si="1"/>
        <v>93.383099999999985</v>
      </c>
      <c r="T6" s="244">
        <f t="shared" ref="T6:T45" si="8">SUM(S6*0.9)</f>
        <v>84.044789999999992</v>
      </c>
      <c r="U6" s="244">
        <f t="shared" si="2"/>
        <v>84.044789999999992</v>
      </c>
      <c r="V6" s="305">
        <v>75</v>
      </c>
      <c r="W6" s="244">
        <v>75</v>
      </c>
      <c r="X6" s="244">
        <f t="shared" ref="X6:X45" si="9">SUM(W6*1.15)</f>
        <v>86.25</v>
      </c>
      <c r="Y6" s="309">
        <v>106.68</v>
      </c>
      <c r="Z6" s="244">
        <f t="shared" ref="Z6:Z45" si="10">SUM(X6-Y6)</f>
        <v>-20.430000000000007</v>
      </c>
      <c r="AA6" s="244">
        <f t="shared" ref="AA6:AA45" si="11">SUM(Y6*100/X6-100)</f>
        <v>23.686956521739134</v>
      </c>
      <c r="AB6" s="244">
        <f t="shared" ref="AB6:AB45" si="12">SUM(X6*100/0.76/100)</f>
        <v>113.48684210526315</v>
      </c>
      <c r="AC6" s="229">
        <v>140.37</v>
      </c>
      <c r="AD6" s="317">
        <f t="shared" ref="AD6:AD43" si="13">SUM(AC6*0.85)</f>
        <v>119.3145</v>
      </c>
      <c r="AE6" s="244">
        <f t="shared" ref="AE6:AE45" si="14">SUM(AD6*0.76)</f>
        <v>90.679019999999994</v>
      </c>
      <c r="AF6" s="244">
        <f t="shared" ref="AF6:AF45" si="15">SUM(AE6*0.9)</f>
        <v>81.611117999999991</v>
      </c>
      <c r="AG6" s="244"/>
      <c r="AH6" s="244"/>
      <c r="AI6" s="244">
        <v>63</v>
      </c>
      <c r="AJ6" s="244">
        <v>63</v>
      </c>
      <c r="AK6" s="244">
        <f t="shared" ref="AK6:AK45" si="16">SUM(AF6-AJ6)</f>
        <v>18.611117999999991</v>
      </c>
      <c r="AL6" s="431"/>
      <c r="AM6" s="431"/>
      <c r="AN6" s="429">
        <v>70</v>
      </c>
      <c r="AO6" s="232">
        <v>82</v>
      </c>
      <c r="AP6" s="244"/>
      <c r="AQ6" s="244">
        <f t="shared" ref="AQ6:AQ45" si="17">SUM(AO6*1.44)</f>
        <v>118.08</v>
      </c>
      <c r="AR6" s="244"/>
      <c r="AS6" s="244">
        <f t="shared" ref="AS6:AS45" si="18">SUM(AQ6*0.76)</f>
        <v>89.740799999999993</v>
      </c>
      <c r="AU6" s="350">
        <v>70</v>
      </c>
      <c r="AV6" s="244">
        <f t="shared" ref="AV6:AV45" si="19">SUM(AW6*100/60)</f>
        <v>128.33333333333334</v>
      </c>
      <c r="AW6" s="457">
        <f t="shared" ref="AW6:AW45" si="20">SUM(AU6*1.1)</f>
        <v>77</v>
      </c>
      <c r="AX6" s="244">
        <f t="shared" ref="AX6:AX45" si="21">SUM(AV6*0.65)</f>
        <v>83.416666666666671</v>
      </c>
      <c r="AY6" s="458">
        <f t="shared" ref="AY6:AY45" si="22">SUM(F6*0.76)</f>
        <v>97.533333333333346</v>
      </c>
      <c r="BA6" s="458">
        <f t="shared" ref="BA6:BA45" si="23">SUM(AW6-AY6)</f>
        <v>-20.533333333333346</v>
      </c>
    </row>
    <row r="7" spans="1:53" ht="18" customHeight="1" thickBot="1">
      <c r="A7" s="725" t="s">
        <v>500</v>
      </c>
      <c r="B7" s="726"/>
      <c r="C7" s="101">
        <v>125</v>
      </c>
      <c r="D7" s="102" t="s">
        <v>23</v>
      </c>
      <c r="E7" s="102" t="s">
        <v>89</v>
      </c>
      <c r="F7" s="307">
        <f t="shared" si="3"/>
        <v>110</v>
      </c>
      <c r="G7" s="103" t="s">
        <v>8</v>
      </c>
      <c r="H7" s="231">
        <v>78.41</v>
      </c>
      <c r="I7" s="315">
        <v>40</v>
      </c>
      <c r="J7" s="315"/>
      <c r="K7" s="318"/>
      <c r="L7" s="244"/>
      <c r="M7" s="244">
        <f t="shared" si="0"/>
        <v>70.569000000000003</v>
      </c>
      <c r="N7" s="244">
        <f t="shared" si="4"/>
        <v>92.853947368421061</v>
      </c>
      <c r="O7" s="244">
        <f t="shared" si="5"/>
        <v>63.512100000000004</v>
      </c>
      <c r="P7" s="244">
        <f t="shared" si="6"/>
        <v>63.512100000000004</v>
      </c>
      <c r="R7" s="244">
        <f t="shared" si="7"/>
        <v>88.211250000000007</v>
      </c>
      <c r="S7" s="244">
        <f t="shared" si="1"/>
        <v>67.04055000000001</v>
      </c>
      <c r="T7" s="244">
        <f t="shared" si="8"/>
        <v>60.336495000000014</v>
      </c>
      <c r="U7" s="244">
        <f t="shared" si="2"/>
        <v>60.336495000000014</v>
      </c>
      <c r="V7" s="229">
        <v>40</v>
      </c>
      <c r="W7" s="244">
        <v>42</v>
      </c>
      <c r="X7" s="244">
        <f t="shared" si="9"/>
        <v>48.3</v>
      </c>
      <c r="Y7" s="309">
        <v>76.569999999999993</v>
      </c>
      <c r="Z7" s="244">
        <f t="shared" si="10"/>
        <v>-28.269999999999996</v>
      </c>
      <c r="AA7" s="244">
        <f t="shared" si="11"/>
        <v>58.530020703933729</v>
      </c>
      <c r="AB7" s="244">
        <f t="shared" si="12"/>
        <v>63.55263157894737</v>
      </c>
      <c r="AC7" s="229">
        <v>100.57</v>
      </c>
      <c r="AD7" s="317">
        <f t="shared" si="13"/>
        <v>85.484499999999997</v>
      </c>
      <c r="AE7" s="244">
        <f t="shared" si="14"/>
        <v>64.968220000000002</v>
      </c>
      <c r="AF7" s="244">
        <f t="shared" si="15"/>
        <v>58.471398000000001</v>
      </c>
      <c r="AG7" s="244">
        <v>40</v>
      </c>
      <c r="AH7" s="244">
        <v>40</v>
      </c>
      <c r="AI7" s="244"/>
      <c r="AJ7" s="244">
        <v>40</v>
      </c>
      <c r="AK7" s="244">
        <f t="shared" si="16"/>
        <v>18.471398000000001</v>
      </c>
      <c r="AL7" s="431">
        <v>50</v>
      </c>
      <c r="AM7" s="431" t="s">
        <v>734</v>
      </c>
      <c r="AN7"/>
      <c r="AO7" s="232">
        <v>50</v>
      </c>
      <c r="AP7" s="244"/>
      <c r="AQ7" s="244">
        <f t="shared" si="17"/>
        <v>72</v>
      </c>
      <c r="AR7" s="244"/>
      <c r="AS7" s="244">
        <f t="shared" si="18"/>
        <v>54.72</v>
      </c>
      <c r="AU7" s="350">
        <v>60</v>
      </c>
      <c r="AV7" s="244">
        <f t="shared" si="19"/>
        <v>110</v>
      </c>
      <c r="AW7" s="457">
        <f t="shared" si="20"/>
        <v>66</v>
      </c>
      <c r="AX7" s="244">
        <f t="shared" si="21"/>
        <v>71.5</v>
      </c>
      <c r="AY7" s="458">
        <f t="shared" si="22"/>
        <v>83.6</v>
      </c>
      <c r="BA7" s="458">
        <f t="shared" si="23"/>
        <v>-17.599999999999994</v>
      </c>
    </row>
    <row r="8" spans="1:53" ht="18" customHeight="1" thickBot="1">
      <c r="A8" s="727" t="s">
        <v>498</v>
      </c>
      <c r="B8" s="728"/>
      <c r="C8" s="104">
        <v>125</v>
      </c>
      <c r="D8" s="105" t="s">
        <v>23</v>
      </c>
      <c r="E8" s="105" t="s">
        <v>89</v>
      </c>
      <c r="F8" s="341">
        <f t="shared" si="3"/>
        <v>134.40166666666667</v>
      </c>
      <c r="G8" s="106" t="s">
        <v>8</v>
      </c>
      <c r="H8" s="231">
        <v>78.41</v>
      </c>
      <c r="I8" s="315">
        <v>61.98</v>
      </c>
      <c r="J8" s="315"/>
      <c r="K8" s="266"/>
      <c r="L8" s="244"/>
      <c r="M8" s="244">
        <f t="shared" si="0"/>
        <v>70.569000000000003</v>
      </c>
      <c r="N8" s="244">
        <f t="shared" si="4"/>
        <v>92.853947368421061</v>
      </c>
      <c r="O8" s="244">
        <f t="shared" si="5"/>
        <v>63.512100000000004</v>
      </c>
      <c r="P8" s="244">
        <f t="shared" si="6"/>
        <v>63.512100000000004</v>
      </c>
      <c r="R8" s="244">
        <v>119.89</v>
      </c>
      <c r="S8" s="244">
        <f t="shared" si="1"/>
        <v>91.116399999999999</v>
      </c>
      <c r="T8" s="244">
        <f t="shared" si="8"/>
        <v>82.004760000000005</v>
      </c>
      <c r="U8" s="244">
        <f t="shared" si="2"/>
        <v>82.004760000000005</v>
      </c>
      <c r="V8" s="305">
        <v>68</v>
      </c>
      <c r="W8" s="244">
        <v>68</v>
      </c>
      <c r="X8" s="244">
        <f t="shared" si="9"/>
        <v>78.199999999999989</v>
      </c>
      <c r="Y8" s="309">
        <v>76.569999999999993</v>
      </c>
      <c r="Z8" s="244">
        <f t="shared" si="10"/>
        <v>1.6299999999999955</v>
      </c>
      <c r="AA8" s="244">
        <f t="shared" si="11"/>
        <v>-2.0843989769821007</v>
      </c>
      <c r="AB8" s="244">
        <f t="shared" si="12"/>
        <v>102.89473684210525</v>
      </c>
      <c r="AC8" s="229">
        <v>100.57</v>
      </c>
      <c r="AD8" s="317">
        <f t="shared" si="13"/>
        <v>85.484499999999997</v>
      </c>
      <c r="AE8" s="244">
        <f t="shared" si="14"/>
        <v>64.968220000000002</v>
      </c>
      <c r="AF8" s="244">
        <f t="shared" si="15"/>
        <v>58.471398000000001</v>
      </c>
      <c r="AG8" s="244">
        <v>61.98</v>
      </c>
      <c r="AH8" s="244">
        <v>81.97</v>
      </c>
      <c r="AI8" s="244"/>
      <c r="AJ8" s="244">
        <v>81.97</v>
      </c>
      <c r="AK8" s="319">
        <f t="shared" si="16"/>
        <v>-23.498601999999998</v>
      </c>
      <c r="AL8" s="432">
        <v>78.44</v>
      </c>
      <c r="AM8" s="433">
        <v>82.24</v>
      </c>
      <c r="AN8"/>
      <c r="AO8" s="434">
        <v>83</v>
      </c>
      <c r="AP8" s="244"/>
      <c r="AQ8" s="244">
        <f t="shared" si="17"/>
        <v>119.52</v>
      </c>
      <c r="AR8" s="244"/>
      <c r="AS8" s="244">
        <f t="shared" si="18"/>
        <v>90.8352</v>
      </c>
      <c r="AU8" s="281">
        <v>73.31</v>
      </c>
      <c r="AV8" s="244">
        <f t="shared" si="19"/>
        <v>134.40166666666667</v>
      </c>
      <c r="AW8" s="457">
        <f t="shared" si="20"/>
        <v>80.641000000000005</v>
      </c>
      <c r="AX8" s="244">
        <f t="shared" si="21"/>
        <v>87.36108333333334</v>
      </c>
      <c r="AY8" s="458">
        <f t="shared" si="22"/>
        <v>102.14526666666667</v>
      </c>
      <c r="BA8" s="458">
        <f t="shared" si="23"/>
        <v>-21.504266666666666</v>
      </c>
    </row>
    <row r="9" spans="1:53" ht="18" customHeight="1" thickBot="1">
      <c r="A9" s="725" t="s">
        <v>198</v>
      </c>
      <c r="B9" s="726"/>
      <c r="C9" s="101">
        <v>125</v>
      </c>
      <c r="D9" s="102" t="s">
        <v>23</v>
      </c>
      <c r="E9" s="102" t="s">
        <v>89</v>
      </c>
      <c r="F9" s="307">
        <f t="shared" si="3"/>
        <v>36.666666666666664</v>
      </c>
      <c r="G9" s="103" t="s">
        <v>8</v>
      </c>
      <c r="H9" s="232">
        <v>0</v>
      </c>
      <c r="I9" s="320">
        <v>11</v>
      </c>
      <c r="J9" s="320"/>
      <c r="K9" s="318"/>
      <c r="L9" s="272"/>
      <c r="M9" s="272">
        <f t="shared" si="0"/>
        <v>0</v>
      </c>
      <c r="N9" s="272">
        <f t="shared" si="4"/>
        <v>0</v>
      </c>
      <c r="O9" s="272">
        <f t="shared" si="5"/>
        <v>0</v>
      </c>
      <c r="P9" s="272">
        <f t="shared" si="6"/>
        <v>0</v>
      </c>
      <c r="Q9" s="274"/>
      <c r="R9" s="272">
        <v>16</v>
      </c>
      <c r="S9" s="272">
        <f t="shared" si="1"/>
        <v>12.16</v>
      </c>
      <c r="T9" s="272">
        <f t="shared" si="8"/>
        <v>10.944000000000001</v>
      </c>
      <c r="U9" s="272">
        <f t="shared" si="2"/>
        <v>10.944000000000001</v>
      </c>
      <c r="V9" s="229">
        <v>11</v>
      </c>
      <c r="W9" s="244">
        <v>13</v>
      </c>
      <c r="X9" s="244">
        <f t="shared" si="9"/>
        <v>14.95</v>
      </c>
      <c r="Y9" s="309">
        <v>14.95</v>
      </c>
      <c r="Z9" s="244">
        <f t="shared" si="10"/>
        <v>0</v>
      </c>
      <c r="AA9" s="244">
        <f t="shared" si="11"/>
        <v>0</v>
      </c>
      <c r="AB9" s="244">
        <f t="shared" si="12"/>
        <v>19.671052631578949</v>
      </c>
      <c r="AC9" s="321"/>
      <c r="AD9" s="319">
        <v>17</v>
      </c>
      <c r="AE9" s="319">
        <f t="shared" si="14"/>
        <v>12.92</v>
      </c>
      <c r="AF9" s="319">
        <f t="shared" si="15"/>
        <v>11.628</v>
      </c>
      <c r="AG9" s="319">
        <v>11</v>
      </c>
      <c r="AH9" s="319"/>
      <c r="AI9" s="319"/>
      <c r="AJ9" s="319">
        <v>11</v>
      </c>
      <c r="AK9" s="319">
        <f t="shared" si="16"/>
        <v>0.62800000000000011</v>
      </c>
      <c r="AL9" s="432">
        <v>20</v>
      </c>
      <c r="AM9" s="432"/>
      <c r="AN9"/>
      <c r="AO9" s="232">
        <v>20</v>
      </c>
      <c r="AP9" s="244"/>
      <c r="AQ9" s="244">
        <f t="shared" si="17"/>
        <v>28.799999999999997</v>
      </c>
      <c r="AR9" s="244"/>
      <c r="AS9" s="244">
        <f t="shared" si="18"/>
        <v>21.887999999999998</v>
      </c>
      <c r="AU9" s="350">
        <v>20</v>
      </c>
      <c r="AV9" s="244">
        <f t="shared" si="19"/>
        <v>36.666666666666664</v>
      </c>
      <c r="AW9" s="457">
        <f t="shared" si="20"/>
        <v>22</v>
      </c>
      <c r="AX9" s="244">
        <f t="shared" si="21"/>
        <v>23.833333333333332</v>
      </c>
      <c r="AY9" s="458">
        <f t="shared" si="22"/>
        <v>27.866666666666664</v>
      </c>
      <c r="BA9" s="458">
        <f t="shared" si="23"/>
        <v>-5.8666666666666636</v>
      </c>
    </row>
    <row r="10" spans="1:53" ht="18" customHeight="1" thickBot="1">
      <c r="A10" s="727" t="s">
        <v>616</v>
      </c>
      <c r="B10" s="728"/>
      <c r="C10" s="104">
        <v>125</v>
      </c>
      <c r="D10" s="105" t="s">
        <v>23</v>
      </c>
      <c r="E10" s="105" t="s">
        <v>89</v>
      </c>
      <c r="F10" s="341">
        <f t="shared" si="3"/>
        <v>38.5</v>
      </c>
      <c r="G10" s="106" t="s">
        <v>8</v>
      </c>
      <c r="H10" s="233">
        <v>26.68</v>
      </c>
      <c r="I10" s="320">
        <v>20</v>
      </c>
      <c r="J10" s="320"/>
      <c r="K10" s="318"/>
      <c r="L10" s="244"/>
      <c r="M10" s="244">
        <f t="shared" si="0"/>
        <v>24.012</v>
      </c>
      <c r="N10" s="244">
        <f t="shared" si="4"/>
        <v>31.594736842105259</v>
      </c>
      <c r="O10" s="244">
        <f t="shared" si="5"/>
        <v>21.610800000000001</v>
      </c>
      <c r="P10" s="244">
        <f t="shared" si="6"/>
        <v>21.610800000000001</v>
      </c>
      <c r="R10" s="244">
        <f t="shared" si="7"/>
        <v>30.014999999999993</v>
      </c>
      <c r="S10" s="244">
        <f t="shared" si="1"/>
        <v>22.811399999999995</v>
      </c>
      <c r="T10" s="244">
        <f t="shared" si="8"/>
        <v>20.530259999999995</v>
      </c>
      <c r="U10" s="244">
        <f t="shared" si="2"/>
        <v>20.530259999999995</v>
      </c>
      <c r="V10" s="229">
        <v>20</v>
      </c>
      <c r="W10" s="244">
        <v>22</v>
      </c>
      <c r="X10" s="244">
        <f t="shared" si="9"/>
        <v>25.299999999999997</v>
      </c>
      <c r="Y10" s="309">
        <v>43.83</v>
      </c>
      <c r="Z10" s="244">
        <f t="shared" si="10"/>
        <v>-18.53</v>
      </c>
      <c r="AA10" s="244">
        <f t="shared" si="11"/>
        <v>73.241106719367622</v>
      </c>
      <c r="AB10" s="244">
        <f t="shared" si="12"/>
        <v>33.28947368421052</v>
      </c>
      <c r="AC10" s="229">
        <v>57.67</v>
      </c>
      <c r="AD10" s="317">
        <f t="shared" si="13"/>
        <v>49.019500000000001</v>
      </c>
      <c r="AE10" s="244">
        <f t="shared" si="14"/>
        <v>37.254820000000002</v>
      </c>
      <c r="AF10" s="244">
        <f t="shared" si="15"/>
        <v>33.529338000000003</v>
      </c>
      <c r="AG10" s="244">
        <v>20</v>
      </c>
      <c r="AH10" s="244">
        <v>20</v>
      </c>
      <c r="AI10" s="244"/>
      <c r="AJ10" s="244">
        <v>20</v>
      </c>
      <c r="AK10" s="244">
        <f t="shared" si="16"/>
        <v>13.529338000000003</v>
      </c>
      <c r="AL10" s="432">
        <v>22</v>
      </c>
      <c r="AM10" s="432">
        <v>22</v>
      </c>
      <c r="AN10"/>
      <c r="AO10" s="232">
        <v>22</v>
      </c>
      <c r="AP10" s="244"/>
      <c r="AQ10" s="244">
        <f t="shared" si="17"/>
        <v>31.68</v>
      </c>
      <c r="AR10" s="244"/>
      <c r="AS10" s="244">
        <f t="shared" si="18"/>
        <v>24.076799999999999</v>
      </c>
      <c r="AU10" s="281">
        <v>21</v>
      </c>
      <c r="AV10" s="244">
        <f t="shared" si="19"/>
        <v>38.5</v>
      </c>
      <c r="AW10" s="457">
        <f t="shared" si="20"/>
        <v>23.1</v>
      </c>
      <c r="AX10" s="244">
        <f t="shared" si="21"/>
        <v>25.025000000000002</v>
      </c>
      <c r="AY10" s="458">
        <f t="shared" si="22"/>
        <v>29.26</v>
      </c>
      <c r="BA10" s="458">
        <f t="shared" si="23"/>
        <v>-6.16</v>
      </c>
    </row>
    <row r="11" spans="1:53" ht="18" customHeight="1" thickBot="1">
      <c r="A11" s="725" t="s">
        <v>619</v>
      </c>
      <c r="B11" s="726"/>
      <c r="C11" s="101">
        <v>125</v>
      </c>
      <c r="D11" s="102" t="s">
        <v>23</v>
      </c>
      <c r="E11" s="102" t="s">
        <v>89</v>
      </c>
      <c r="F11" s="307">
        <f t="shared" si="3"/>
        <v>44</v>
      </c>
      <c r="G11" s="103" t="s">
        <v>8</v>
      </c>
      <c r="H11" s="231">
        <v>34.130000000000003</v>
      </c>
      <c r="I11" s="315"/>
      <c r="J11" s="315"/>
      <c r="K11" s="318"/>
      <c r="L11" s="244"/>
      <c r="M11" s="244">
        <f t="shared" si="0"/>
        <v>30.717000000000002</v>
      </c>
      <c r="N11" s="244">
        <f t="shared" si="4"/>
        <v>40.4171052631579</v>
      </c>
      <c r="O11" s="244">
        <f t="shared" si="5"/>
        <v>27.645300000000002</v>
      </c>
      <c r="P11" s="244">
        <f t="shared" si="6"/>
        <v>27.645300000000002</v>
      </c>
      <c r="R11" s="244">
        <f t="shared" si="7"/>
        <v>38.396250000000002</v>
      </c>
      <c r="S11" s="244">
        <f t="shared" si="1"/>
        <v>29.181150000000002</v>
      </c>
      <c r="T11" s="244">
        <f t="shared" si="8"/>
        <v>26.263035000000002</v>
      </c>
      <c r="U11" s="244">
        <f t="shared" si="2"/>
        <v>26.263035000000002</v>
      </c>
      <c r="V11" s="229">
        <v>23</v>
      </c>
      <c r="W11" s="244">
        <v>25</v>
      </c>
      <c r="X11" s="244">
        <f t="shared" si="9"/>
        <v>28.749999999999996</v>
      </c>
      <c r="Y11" s="309">
        <v>52.58</v>
      </c>
      <c r="Z11" s="244">
        <f t="shared" si="10"/>
        <v>-23.830000000000002</v>
      </c>
      <c r="AA11" s="244">
        <f t="shared" si="11"/>
        <v>82.886956521739165</v>
      </c>
      <c r="AB11" s="244">
        <f t="shared" si="12"/>
        <v>37.828947368421048</v>
      </c>
      <c r="AC11" s="229">
        <v>69.180000000000007</v>
      </c>
      <c r="AD11" s="317">
        <f t="shared" si="13"/>
        <v>58.803000000000004</v>
      </c>
      <c r="AE11" s="244">
        <f t="shared" si="14"/>
        <v>44.690280000000001</v>
      </c>
      <c r="AF11" s="244">
        <f t="shared" si="15"/>
        <v>40.221252</v>
      </c>
      <c r="AG11" s="244"/>
      <c r="AH11" s="244"/>
      <c r="AI11" s="244">
        <v>20</v>
      </c>
      <c r="AJ11" s="244">
        <v>20</v>
      </c>
      <c r="AK11" s="244">
        <f t="shared" si="16"/>
        <v>20.221252</v>
      </c>
      <c r="AL11" s="432"/>
      <c r="AM11" s="432"/>
      <c r="AN11" s="429">
        <v>24</v>
      </c>
      <c r="AO11" s="232">
        <v>24</v>
      </c>
      <c r="AP11" s="244"/>
      <c r="AQ11" s="244">
        <f t="shared" si="17"/>
        <v>34.56</v>
      </c>
      <c r="AR11" s="244"/>
      <c r="AS11" s="244">
        <f t="shared" si="18"/>
        <v>26.265600000000003</v>
      </c>
      <c r="AU11" s="350">
        <v>24</v>
      </c>
      <c r="AV11" s="244">
        <f t="shared" si="19"/>
        <v>44</v>
      </c>
      <c r="AW11" s="457">
        <f t="shared" si="20"/>
        <v>26.400000000000002</v>
      </c>
      <c r="AX11" s="244">
        <f t="shared" si="21"/>
        <v>28.6</v>
      </c>
      <c r="AY11" s="458">
        <f t="shared" si="22"/>
        <v>33.44</v>
      </c>
      <c r="BA11" s="458">
        <f t="shared" si="23"/>
        <v>-7.0399999999999956</v>
      </c>
    </row>
    <row r="12" spans="1:53" ht="18" customHeight="1" thickBot="1">
      <c r="A12" s="727" t="s">
        <v>199</v>
      </c>
      <c r="B12" s="728"/>
      <c r="C12" s="104">
        <v>125</v>
      </c>
      <c r="D12" s="105">
        <v>3000</v>
      </c>
      <c r="E12" s="105" t="s">
        <v>89</v>
      </c>
      <c r="F12" s="341">
        <f t="shared" si="3"/>
        <v>229.16666666666666</v>
      </c>
      <c r="G12" s="106" t="s">
        <v>8</v>
      </c>
      <c r="H12" s="231">
        <v>141.30000000000001</v>
      </c>
      <c r="I12" s="315">
        <v>103.74</v>
      </c>
      <c r="J12" s="315"/>
      <c r="K12" s="318"/>
      <c r="L12" s="232"/>
      <c r="M12" s="232">
        <f t="shared" si="0"/>
        <v>127.17000000000002</v>
      </c>
      <c r="N12" s="232">
        <f t="shared" si="4"/>
        <v>167.32894736842107</v>
      </c>
      <c r="O12" s="232">
        <f t="shared" si="5"/>
        <v>114.45300000000002</v>
      </c>
      <c r="P12" s="232">
        <f t="shared" si="6"/>
        <v>114.45300000000002</v>
      </c>
      <c r="Q12" s="302"/>
      <c r="R12" s="232">
        <v>170</v>
      </c>
      <c r="S12" s="232">
        <v>129.88999999999999</v>
      </c>
      <c r="T12" s="232">
        <v>123.4</v>
      </c>
      <c r="U12" s="232">
        <f t="shared" si="2"/>
        <v>123.4</v>
      </c>
      <c r="V12" s="305">
        <v>112.5</v>
      </c>
      <c r="W12" s="244">
        <v>112.5</v>
      </c>
      <c r="X12" s="244">
        <f t="shared" si="9"/>
        <v>129.375</v>
      </c>
      <c r="Y12" s="309">
        <v>138.05000000000001</v>
      </c>
      <c r="Z12" s="244">
        <f t="shared" si="10"/>
        <v>-8.6750000000000114</v>
      </c>
      <c r="AA12" s="244">
        <f t="shared" si="11"/>
        <v>6.7053140096618478</v>
      </c>
      <c r="AB12" s="244">
        <f t="shared" si="12"/>
        <v>170.23026315789474</v>
      </c>
      <c r="AC12" s="229">
        <v>181.64</v>
      </c>
      <c r="AD12" s="317">
        <f t="shared" si="13"/>
        <v>154.39399999999998</v>
      </c>
      <c r="AE12" s="244">
        <f t="shared" si="14"/>
        <v>117.33943999999998</v>
      </c>
      <c r="AF12" s="244">
        <f t="shared" si="15"/>
        <v>105.60549599999999</v>
      </c>
      <c r="AG12" s="244">
        <v>103.74</v>
      </c>
      <c r="AH12" s="244">
        <v>142.58000000000001</v>
      </c>
      <c r="AI12" s="244"/>
      <c r="AJ12" s="244">
        <v>142.58000000000001</v>
      </c>
      <c r="AK12" s="319">
        <f t="shared" si="16"/>
        <v>-36.974504000000024</v>
      </c>
      <c r="AL12" s="432">
        <v>136.5</v>
      </c>
      <c r="AM12" s="432">
        <v>124.61</v>
      </c>
      <c r="AN12"/>
      <c r="AO12" s="232">
        <v>140.30000000000001</v>
      </c>
      <c r="AP12" s="244"/>
      <c r="AQ12" s="244">
        <f t="shared" si="17"/>
        <v>202.03200000000001</v>
      </c>
      <c r="AR12" s="244"/>
      <c r="AS12" s="244">
        <f t="shared" si="18"/>
        <v>153.54432</v>
      </c>
      <c r="AU12" s="281">
        <v>125</v>
      </c>
      <c r="AV12" s="244">
        <f t="shared" si="19"/>
        <v>229.16666666666666</v>
      </c>
      <c r="AW12" s="457">
        <f t="shared" si="20"/>
        <v>137.5</v>
      </c>
      <c r="AX12" s="244">
        <f t="shared" si="21"/>
        <v>148.95833333333334</v>
      </c>
      <c r="AY12" s="458">
        <f t="shared" si="22"/>
        <v>174.16666666666666</v>
      </c>
      <c r="BA12" s="458">
        <f t="shared" si="23"/>
        <v>-36.666666666666657</v>
      </c>
    </row>
    <row r="13" spans="1:53" ht="18" customHeight="1" thickBot="1">
      <c r="A13" s="725" t="s">
        <v>200</v>
      </c>
      <c r="B13" s="726"/>
      <c r="C13" s="101">
        <v>125</v>
      </c>
      <c r="D13" s="102">
        <v>4000</v>
      </c>
      <c r="E13" s="102" t="s">
        <v>89</v>
      </c>
      <c r="F13" s="307">
        <f t="shared" si="3"/>
        <v>304.33333333333337</v>
      </c>
      <c r="G13" s="103" t="s">
        <v>8</v>
      </c>
      <c r="H13" s="231">
        <v>188.4</v>
      </c>
      <c r="I13" s="315">
        <v>149.44999999999999</v>
      </c>
      <c r="J13" s="315"/>
      <c r="K13" s="270"/>
      <c r="L13" s="271"/>
      <c r="M13" s="271">
        <f t="shared" si="0"/>
        <v>169.56</v>
      </c>
      <c r="N13" s="271">
        <f t="shared" si="4"/>
        <v>223.10526315789474</v>
      </c>
      <c r="O13" s="271">
        <f t="shared" si="5"/>
        <v>152.60400000000001</v>
      </c>
      <c r="P13" s="271">
        <f t="shared" si="6"/>
        <v>152.60400000000001</v>
      </c>
      <c r="Q13" s="269"/>
      <c r="R13" s="271">
        <v>217.83</v>
      </c>
      <c r="S13" s="271">
        <f t="shared" ref="S13:S45" si="24">SUM(R13*0.76)</f>
        <v>165.55080000000001</v>
      </c>
      <c r="T13" s="271">
        <f t="shared" si="8"/>
        <v>148.99572000000001</v>
      </c>
      <c r="U13" s="271">
        <f t="shared" si="2"/>
        <v>148.99572000000001</v>
      </c>
      <c r="V13" s="305">
        <v>152</v>
      </c>
      <c r="W13" s="244">
        <v>152</v>
      </c>
      <c r="X13" s="244">
        <f t="shared" si="9"/>
        <v>174.79999999999998</v>
      </c>
      <c r="Y13" s="309">
        <v>187.07</v>
      </c>
      <c r="Z13" s="244">
        <f t="shared" si="10"/>
        <v>-12.27000000000001</v>
      </c>
      <c r="AA13" s="244">
        <f t="shared" si="11"/>
        <v>7.0194508009153367</v>
      </c>
      <c r="AB13" s="244">
        <f t="shared" si="12"/>
        <v>230</v>
      </c>
      <c r="AC13" s="229">
        <v>242.18</v>
      </c>
      <c r="AD13" s="317">
        <f t="shared" si="13"/>
        <v>205.85300000000001</v>
      </c>
      <c r="AE13" s="244">
        <f t="shared" si="14"/>
        <v>156.44828000000001</v>
      </c>
      <c r="AF13" s="244">
        <f t="shared" si="15"/>
        <v>140.80345200000002</v>
      </c>
      <c r="AG13" s="244">
        <v>149.44999999999999</v>
      </c>
      <c r="AH13" s="244">
        <v>112</v>
      </c>
      <c r="AI13" s="244"/>
      <c r="AJ13" s="244">
        <v>149.44999999999999</v>
      </c>
      <c r="AK13" s="319">
        <f t="shared" si="16"/>
        <v>-8.6465479999999673</v>
      </c>
      <c r="AL13" s="432">
        <v>169.92</v>
      </c>
      <c r="AM13" s="432">
        <v>164.1</v>
      </c>
      <c r="AN13"/>
      <c r="AO13" s="232">
        <v>175</v>
      </c>
      <c r="AP13" s="244"/>
      <c r="AQ13" s="244">
        <f t="shared" si="17"/>
        <v>252</v>
      </c>
      <c r="AR13" s="244"/>
      <c r="AS13" s="244">
        <f t="shared" si="18"/>
        <v>191.52</v>
      </c>
      <c r="AU13" s="281">
        <v>166</v>
      </c>
      <c r="AV13" s="244">
        <f t="shared" si="19"/>
        <v>304.33333333333337</v>
      </c>
      <c r="AW13" s="457">
        <f t="shared" si="20"/>
        <v>182.60000000000002</v>
      </c>
      <c r="AX13" s="244">
        <f t="shared" si="21"/>
        <v>197.81666666666669</v>
      </c>
      <c r="AY13" s="458">
        <f t="shared" si="22"/>
        <v>231.29333333333335</v>
      </c>
      <c r="BA13" s="458">
        <f t="shared" si="23"/>
        <v>-48.693333333333328</v>
      </c>
    </row>
    <row r="14" spans="1:53" ht="18" customHeight="1" thickBot="1">
      <c r="A14" s="727" t="s">
        <v>620</v>
      </c>
      <c r="B14" s="728"/>
      <c r="C14" s="104">
        <v>125</v>
      </c>
      <c r="D14" s="105">
        <v>3000</v>
      </c>
      <c r="E14" s="105" t="s">
        <v>89</v>
      </c>
      <c r="F14" s="341">
        <f t="shared" si="3"/>
        <v>247.5</v>
      </c>
      <c r="G14" s="106" t="s">
        <v>8</v>
      </c>
      <c r="H14" s="231">
        <v>202.39</v>
      </c>
      <c r="I14" s="315"/>
      <c r="J14" s="315"/>
      <c r="K14" s="266"/>
      <c r="L14" s="244"/>
      <c r="M14" s="244">
        <f t="shared" si="0"/>
        <v>182.15099999999998</v>
      </c>
      <c r="N14" s="244">
        <f t="shared" si="4"/>
        <v>239.67236842105262</v>
      </c>
      <c r="O14" s="244">
        <f t="shared" si="5"/>
        <v>163.93589999999998</v>
      </c>
      <c r="P14" s="244">
        <f t="shared" si="6"/>
        <v>163.93589999999998</v>
      </c>
      <c r="R14" s="244">
        <f t="shared" si="7"/>
        <v>227.68874999999997</v>
      </c>
      <c r="S14" s="244">
        <f t="shared" si="24"/>
        <v>173.04344999999998</v>
      </c>
      <c r="T14" s="244">
        <f t="shared" si="8"/>
        <v>155.739105</v>
      </c>
      <c r="U14" s="244">
        <f t="shared" si="2"/>
        <v>155.739105</v>
      </c>
      <c r="V14" s="305">
        <v>142</v>
      </c>
      <c r="W14" s="244">
        <v>142</v>
      </c>
      <c r="X14" s="244">
        <f t="shared" si="9"/>
        <v>163.29999999999998</v>
      </c>
      <c r="Y14" s="309">
        <v>197.61</v>
      </c>
      <c r="Z14" s="244">
        <f t="shared" si="10"/>
        <v>-34.310000000000031</v>
      </c>
      <c r="AA14" s="244">
        <f t="shared" si="11"/>
        <v>21.010410287813855</v>
      </c>
      <c r="AB14" s="244">
        <f t="shared" si="12"/>
        <v>214.86842105263156</v>
      </c>
      <c r="AC14" s="229">
        <v>260.02</v>
      </c>
      <c r="AD14" s="317">
        <f t="shared" si="13"/>
        <v>221.01699999999997</v>
      </c>
      <c r="AE14" s="244">
        <f t="shared" si="14"/>
        <v>167.97291999999999</v>
      </c>
      <c r="AF14" s="244">
        <f t="shared" si="15"/>
        <v>151.17562799999999</v>
      </c>
      <c r="AG14" s="244"/>
      <c r="AH14" s="244"/>
      <c r="AI14" s="244">
        <v>140</v>
      </c>
      <c r="AJ14" s="244">
        <v>140</v>
      </c>
      <c r="AK14" s="244">
        <f t="shared" si="16"/>
        <v>11.175627999999989</v>
      </c>
      <c r="AL14" s="432"/>
      <c r="AM14" s="432"/>
      <c r="AN14" s="429">
        <v>135</v>
      </c>
      <c r="AO14" s="232">
        <v>140.30000000000001</v>
      </c>
      <c r="AP14" s="244"/>
      <c r="AQ14" s="244">
        <f t="shared" si="17"/>
        <v>202.03200000000001</v>
      </c>
      <c r="AR14" s="244"/>
      <c r="AS14" s="244">
        <f t="shared" si="18"/>
        <v>153.54432</v>
      </c>
      <c r="AU14" s="350">
        <v>135</v>
      </c>
      <c r="AV14" s="244">
        <f t="shared" si="19"/>
        <v>247.5</v>
      </c>
      <c r="AW14" s="457">
        <f t="shared" si="20"/>
        <v>148.5</v>
      </c>
      <c r="AX14" s="244">
        <f t="shared" si="21"/>
        <v>160.875</v>
      </c>
      <c r="AY14" s="458">
        <f t="shared" si="22"/>
        <v>188.1</v>
      </c>
      <c r="BA14" s="458">
        <f t="shared" si="23"/>
        <v>-39.599999999999994</v>
      </c>
    </row>
    <row r="15" spans="1:53" ht="18" customHeight="1" thickBot="1">
      <c r="A15" s="725" t="s">
        <v>621</v>
      </c>
      <c r="B15" s="726"/>
      <c r="C15" s="101">
        <v>125</v>
      </c>
      <c r="D15" s="102">
        <v>4000</v>
      </c>
      <c r="E15" s="102" t="s">
        <v>89</v>
      </c>
      <c r="F15" s="307">
        <f t="shared" si="3"/>
        <v>330.00000000000006</v>
      </c>
      <c r="G15" s="103" t="s">
        <v>8</v>
      </c>
      <c r="H15" s="231">
        <v>269.85000000000002</v>
      </c>
      <c r="I15" s="315"/>
      <c r="J15" s="315"/>
      <c r="K15" s="266"/>
      <c r="L15" s="244"/>
      <c r="M15" s="244">
        <f t="shared" si="0"/>
        <v>242.86500000000004</v>
      </c>
      <c r="N15" s="244">
        <f t="shared" si="4"/>
        <v>319.55921052631584</v>
      </c>
      <c r="O15" s="244">
        <f t="shared" si="5"/>
        <v>218.57850000000005</v>
      </c>
      <c r="P15" s="244">
        <f t="shared" si="6"/>
        <v>218.57850000000005</v>
      </c>
      <c r="R15" s="244">
        <f t="shared" si="7"/>
        <v>303.58125000000001</v>
      </c>
      <c r="S15" s="244">
        <f t="shared" si="24"/>
        <v>230.72175000000001</v>
      </c>
      <c r="T15" s="244">
        <f t="shared" si="8"/>
        <v>207.64957500000003</v>
      </c>
      <c r="U15" s="244">
        <f t="shared" si="2"/>
        <v>207.64957500000003</v>
      </c>
      <c r="V15" s="305">
        <v>182</v>
      </c>
      <c r="W15" s="244">
        <v>182</v>
      </c>
      <c r="X15" s="244">
        <f t="shared" si="9"/>
        <v>209.29999999999998</v>
      </c>
      <c r="Y15" s="309">
        <v>263.48</v>
      </c>
      <c r="Z15" s="244">
        <f t="shared" si="10"/>
        <v>-54.180000000000035</v>
      </c>
      <c r="AA15" s="244">
        <f t="shared" si="11"/>
        <v>25.886287625418063</v>
      </c>
      <c r="AB15" s="244">
        <f t="shared" si="12"/>
        <v>275.39473684210526</v>
      </c>
      <c r="AC15" s="229">
        <v>346.69</v>
      </c>
      <c r="AD15" s="317">
        <f t="shared" si="13"/>
        <v>294.68649999999997</v>
      </c>
      <c r="AE15" s="244">
        <f t="shared" si="14"/>
        <v>223.96173999999996</v>
      </c>
      <c r="AF15" s="244">
        <f t="shared" si="15"/>
        <v>201.56556599999996</v>
      </c>
      <c r="AG15" s="244"/>
      <c r="AH15" s="244"/>
      <c r="AI15" s="244">
        <v>180</v>
      </c>
      <c r="AJ15" s="244">
        <v>180</v>
      </c>
      <c r="AK15" s="244">
        <f t="shared" si="16"/>
        <v>21.565565999999961</v>
      </c>
      <c r="AL15" s="432"/>
      <c r="AM15" s="432"/>
      <c r="AN15" s="429">
        <v>180</v>
      </c>
      <c r="AO15" s="232">
        <v>180</v>
      </c>
      <c r="AP15" s="244"/>
      <c r="AQ15" s="244">
        <f t="shared" si="17"/>
        <v>259.2</v>
      </c>
      <c r="AR15" s="244"/>
      <c r="AS15" s="244">
        <f t="shared" si="18"/>
        <v>196.99199999999999</v>
      </c>
      <c r="AU15" s="350">
        <v>180</v>
      </c>
      <c r="AV15" s="244">
        <f t="shared" si="19"/>
        <v>330.00000000000006</v>
      </c>
      <c r="AW15" s="457">
        <f t="shared" si="20"/>
        <v>198.00000000000003</v>
      </c>
      <c r="AX15" s="244">
        <f t="shared" si="21"/>
        <v>214.50000000000006</v>
      </c>
      <c r="AY15" s="458">
        <f t="shared" si="22"/>
        <v>250.80000000000004</v>
      </c>
      <c r="BA15" s="458">
        <f t="shared" si="23"/>
        <v>-52.800000000000011</v>
      </c>
    </row>
    <row r="16" spans="1:53" ht="18" customHeight="1" thickBot="1">
      <c r="A16" s="727" t="s">
        <v>458</v>
      </c>
      <c r="B16" s="728"/>
      <c r="C16" s="104">
        <v>125</v>
      </c>
      <c r="D16" s="105" t="s">
        <v>23</v>
      </c>
      <c r="E16" s="105" t="s">
        <v>89</v>
      </c>
      <c r="F16" s="341">
        <f t="shared" si="3"/>
        <v>26.235000000000003</v>
      </c>
      <c r="G16" s="106" t="s">
        <v>8</v>
      </c>
      <c r="H16" s="233">
        <v>31.79</v>
      </c>
      <c r="I16" s="320">
        <v>12</v>
      </c>
      <c r="J16" s="320"/>
      <c r="K16" s="266"/>
      <c r="L16" s="244"/>
      <c r="M16" s="244">
        <f t="shared" si="0"/>
        <v>28.611000000000001</v>
      </c>
      <c r="N16" s="244">
        <f t="shared" si="4"/>
        <v>37.646052631578947</v>
      </c>
      <c r="O16" s="244">
        <f t="shared" si="5"/>
        <v>25.7499</v>
      </c>
      <c r="P16" s="244">
        <f t="shared" si="6"/>
        <v>25.7499</v>
      </c>
      <c r="R16" s="244">
        <f t="shared" si="7"/>
        <v>35.763749999999995</v>
      </c>
      <c r="S16" s="244">
        <f t="shared" si="24"/>
        <v>27.180449999999997</v>
      </c>
      <c r="T16" s="244">
        <f t="shared" si="8"/>
        <v>24.462404999999997</v>
      </c>
      <c r="U16" s="244">
        <f t="shared" si="2"/>
        <v>24.462404999999997</v>
      </c>
      <c r="V16" s="229">
        <v>12</v>
      </c>
      <c r="W16" s="244">
        <v>14</v>
      </c>
      <c r="X16" s="244">
        <f t="shared" si="9"/>
        <v>16.099999999999998</v>
      </c>
      <c r="Y16" s="309">
        <v>31.06</v>
      </c>
      <c r="Z16" s="244">
        <f t="shared" si="10"/>
        <v>-14.96</v>
      </c>
      <c r="AA16" s="244">
        <f t="shared" si="11"/>
        <v>92.919254658385114</v>
      </c>
      <c r="AB16" s="244">
        <f t="shared" si="12"/>
        <v>21.184210526315788</v>
      </c>
      <c r="AC16" s="229">
        <v>40.869999999999997</v>
      </c>
      <c r="AD16" s="317">
        <f t="shared" si="13"/>
        <v>34.7395</v>
      </c>
      <c r="AE16" s="244">
        <f t="shared" si="14"/>
        <v>26.40202</v>
      </c>
      <c r="AF16" s="244">
        <f t="shared" si="15"/>
        <v>23.761818000000002</v>
      </c>
      <c r="AG16" s="244">
        <v>12</v>
      </c>
      <c r="AH16" s="244">
        <v>12</v>
      </c>
      <c r="AI16" s="244"/>
      <c r="AJ16" s="244">
        <v>12</v>
      </c>
      <c r="AK16" s="244">
        <f t="shared" si="16"/>
        <v>11.761818000000002</v>
      </c>
      <c r="AL16" s="432" t="s">
        <v>733</v>
      </c>
      <c r="AM16" s="432" t="s">
        <v>735</v>
      </c>
      <c r="AN16"/>
      <c r="AO16" s="232">
        <v>14.6</v>
      </c>
      <c r="AP16" s="244"/>
      <c r="AQ16" s="244">
        <f t="shared" si="17"/>
        <v>21.023999999999997</v>
      </c>
      <c r="AR16" s="244"/>
      <c r="AS16" s="244">
        <f t="shared" si="18"/>
        <v>15.978239999999998</v>
      </c>
      <c r="AU16" s="350">
        <v>14.31</v>
      </c>
      <c r="AV16" s="244">
        <f t="shared" si="19"/>
        <v>26.235000000000003</v>
      </c>
      <c r="AW16" s="457">
        <f t="shared" si="20"/>
        <v>15.741000000000001</v>
      </c>
      <c r="AX16" s="244">
        <f t="shared" si="21"/>
        <v>17.052750000000003</v>
      </c>
      <c r="AY16" s="458">
        <f t="shared" si="22"/>
        <v>19.938600000000001</v>
      </c>
      <c r="BA16" s="458">
        <f t="shared" si="23"/>
        <v>-4.1975999999999996</v>
      </c>
    </row>
    <row r="17" spans="1:53" ht="18" customHeight="1" thickBot="1">
      <c r="A17" s="725" t="s">
        <v>459</v>
      </c>
      <c r="B17" s="726"/>
      <c r="C17" s="101">
        <v>125</v>
      </c>
      <c r="D17" s="102" t="s">
        <v>23</v>
      </c>
      <c r="E17" s="102" t="s">
        <v>89</v>
      </c>
      <c r="F17" s="307">
        <f t="shared" si="3"/>
        <v>29.333333333333336</v>
      </c>
      <c r="G17" s="103" t="s">
        <v>8</v>
      </c>
      <c r="H17" s="233">
        <v>44.75</v>
      </c>
      <c r="I17" s="320"/>
      <c r="J17" s="320"/>
      <c r="K17" s="266"/>
      <c r="L17" s="244"/>
      <c r="M17" s="244">
        <f t="shared" si="0"/>
        <v>40.274999999999999</v>
      </c>
      <c r="N17" s="244">
        <f t="shared" si="4"/>
        <v>52.993421052631582</v>
      </c>
      <c r="O17" s="244">
        <f t="shared" si="5"/>
        <v>36.247500000000002</v>
      </c>
      <c r="P17" s="244">
        <f t="shared" si="6"/>
        <v>36.247500000000002</v>
      </c>
      <c r="R17" s="244">
        <f t="shared" si="7"/>
        <v>50.34375</v>
      </c>
      <c r="S17" s="244">
        <f t="shared" si="24"/>
        <v>38.261250000000004</v>
      </c>
      <c r="T17" s="244">
        <f t="shared" si="8"/>
        <v>34.435125000000006</v>
      </c>
      <c r="U17" s="244">
        <f t="shared" si="2"/>
        <v>34.435125000000006</v>
      </c>
      <c r="V17" s="229">
        <v>16</v>
      </c>
      <c r="W17" s="244">
        <v>18</v>
      </c>
      <c r="X17" s="244">
        <f t="shared" si="9"/>
        <v>20.7</v>
      </c>
      <c r="Y17" s="309">
        <v>43.71</v>
      </c>
      <c r="Z17" s="244">
        <f t="shared" si="10"/>
        <v>-23.01</v>
      </c>
      <c r="AA17" s="244">
        <f t="shared" si="11"/>
        <v>111.15942028985509</v>
      </c>
      <c r="AB17" s="244">
        <f t="shared" si="12"/>
        <v>27.236842105263158</v>
      </c>
      <c r="AC17" s="229">
        <v>57.51</v>
      </c>
      <c r="AD17" s="317">
        <f t="shared" si="13"/>
        <v>48.883499999999998</v>
      </c>
      <c r="AE17" s="244">
        <f t="shared" si="14"/>
        <v>37.15146</v>
      </c>
      <c r="AF17" s="244">
        <f t="shared" si="15"/>
        <v>33.436314000000003</v>
      </c>
      <c r="AG17" s="244"/>
      <c r="AH17" s="244"/>
      <c r="AI17" s="244">
        <v>16</v>
      </c>
      <c r="AJ17" s="244">
        <v>16</v>
      </c>
      <c r="AK17" s="244">
        <f t="shared" si="16"/>
        <v>17.436314000000003</v>
      </c>
      <c r="AL17" s="432"/>
      <c r="AM17" s="432"/>
      <c r="AN17" s="429" t="s">
        <v>736</v>
      </c>
      <c r="AO17" s="232">
        <v>16</v>
      </c>
      <c r="AP17" s="244"/>
      <c r="AQ17" s="244">
        <f t="shared" si="17"/>
        <v>23.04</v>
      </c>
      <c r="AR17" s="244"/>
      <c r="AS17" s="244">
        <f t="shared" si="18"/>
        <v>17.510400000000001</v>
      </c>
      <c r="AU17" s="350">
        <v>16</v>
      </c>
      <c r="AV17" s="244">
        <f t="shared" si="19"/>
        <v>29.333333333333336</v>
      </c>
      <c r="AW17" s="457">
        <f t="shared" si="20"/>
        <v>17.600000000000001</v>
      </c>
      <c r="AX17" s="244">
        <f t="shared" si="21"/>
        <v>19.06666666666667</v>
      </c>
      <c r="AY17" s="458">
        <f t="shared" si="22"/>
        <v>22.293333333333337</v>
      </c>
      <c r="BA17" s="458">
        <f t="shared" si="23"/>
        <v>-4.6933333333333351</v>
      </c>
    </row>
    <row r="18" spans="1:53" ht="18" customHeight="1" thickBot="1">
      <c r="A18" s="727" t="s">
        <v>201</v>
      </c>
      <c r="B18" s="728"/>
      <c r="C18" s="104">
        <v>125</v>
      </c>
      <c r="D18" s="105" t="s">
        <v>23</v>
      </c>
      <c r="E18" s="105" t="s">
        <v>89</v>
      </c>
      <c r="F18" s="341">
        <f t="shared" si="3"/>
        <v>46.640000000000008</v>
      </c>
      <c r="G18" s="106" t="s">
        <v>8</v>
      </c>
      <c r="H18" s="233">
        <v>55.22</v>
      </c>
      <c r="I18" s="320">
        <v>24.46</v>
      </c>
      <c r="J18" s="320"/>
      <c r="K18" s="266"/>
      <c r="L18" s="244"/>
      <c r="M18" s="244">
        <f t="shared" si="0"/>
        <v>49.698</v>
      </c>
      <c r="N18" s="244">
        <f t="shared" si="4"/>
        <v>65.392105263157902</v>
      </c>
      <c r="O18" s="244">
        <f t="shared" si="5"/>
        <v>44.728200000000001</v>
      </c>
      <c r="P18" s="244">
        <f t="shared" si="6"/>
        <v>44.728200000000001</v>
      </c>
      <c r="R18" s="244">
        <f t="shared" si="7"/>
        <v>62.122500000000002</v>
      </c>
      <c r="S18" s="244">
        <f t="shared" si="24"/>
        <v>47.213100000000004</v>
      </c>
      <c r="T18" s="244">
        <f t="shared" si="8"/>
        <v>42.491790000000002</v>
      </c>
      <c r="U18" s="244">
        <f t="shared" si="2"/>
        <v>42.491790000000002</v>
      </c>
      <c r="V18" s="229">
        <v>25</v>
      </c>
      <c r="W18" s="244">
        <v>27</v>
      </c>
      <c r="X18" s="244">
        <f t="shared" si="9"/>
        <v>31.049999999999997</v>
      </c>
      <c r="Y18" s="309">
        <v>53.99</v>
      </c>
      <c r="Z18" s="244">
        <f t="shared" si="10"/>
        <v>-22.940000000000005</v>
      </c>
      <c r="AA18" s="244">
        <f t="shared" si="11"/>
        <v>73.880837359098251</v>
      </c>
      <c r="AB18" s="244">
        <f t="shared" si="12"/>
        <v>40.855263157894726</v>
      </c>
      <c r="AC18" s="229">
        <v>71.040000000000006</v>
      </c>
      <c r="AD18" s="317">
        <f t="shared" si="13"/>
        <v>60.384</v>
      </c>
      <c r="AE18" s="244">
        <f t="shared" si="14"/>
        <v>45.891840000000002</v>
      </c>
      <c r="AF18" s="244">
        <f t="shared" si="15"/>
        <v>41.302656000000006</v>
      </c>
      <c r="AG18" s="244">
        <v>24.46</v>
      </c>
      <c r="AH18" s="244">
        <v>22.27</v>
      </c>
      <c r="AI18" s="244"/>
      <c r="AJ18" s="244">
        <v>24.46</v>
      </c>
      <c r="AK18" s="244">
        <f t="shared" si="16"/>
        <v>16.842656000000005</v>
      </c>
      <c r="AL18" s="432">
        <v>24.46</v>
      </c>
      <c r="AM18" s="432">
        <v>19.39</v>
      </c>
      <c r="AN18"/>
      <c r="AO18" s="232">
        <v>30</v>
      </c>
      <c r="AP18" s="244"/>
      <c r="AQ18" s="244">
        <f t="shared" si="17"/>
        <v>43.199999999999996</v>
      </c>
      <c r="AR18" s="244"/>
      <c r="AS18" s="244">
        <f t="shared" si="18"/>
        <v>32.831999999999994</v>
      </c>
      <c r="AU18" s="350">
        <v>25.44</v>
      </c>
      <c r="AV18" s="244">
        <f t="shared" si="19"/>
        <v>46.640000000000008</v>
      </c>
      <c r="AW18" s="457">
        <f t="shared" si="20"/>
        <v>27.984000000000005</v>
      </c>
      <c r="AX18" s="244">
        <f t="shared" si="21"/>
        <v>30.316000000000006</v>
      </c>
      <c r="AY18" s="458">
        <f t="shared" si="22"/>
        <v>35.446400000000004</v>
      </c>
      <c r="BA18" s="458">
        <f t="shared" si="23"/>
        <v>-7.4623999999999988</v>
      </c>
    </row>
    <row r="19" spans="1:53" ht="18" customHeight="1" thickBot="1">
      <c r="A19" s="725" t="s">
        <v>202</v>
      </c>
      <c r="B19" s="726"/>
      <c r="C19" s="101">
        <v>125</v>
      </c>
      <c r="D19" s="102" t="s">
        <v>23</v>
      </c>
      <c r="E19" s="102" t="s">
        <v>89</v>
      </c>
      <c r="F19" s="307">
        <f t="shared" si="3"/>
        <v>49.68333333333333</v>
      </c>
      <c r="G19" s="103" t="s">
        <v>8</v>
      </c>
      <c r="H19" s="233">
        <v>55.22</v>
      </c>
      <c r="I19" s="320">
        <v>33.28</v>
      </c>
      <c r="J19" s="320"/>
      <c r="K19" s="266"/>
      <c r="L19" s="244"/>
      <c r="M19" s="244">
        <f t="shared" si="0"/>
        <v>49.698</v>
      </c>
      <c r="N19" s="244">
        <f t="shared" si="4"/>
        <v>65.392105263157902</v>
      </c>
      <c r="O19" s="244">
        <f t="shared" si="5"/>
        <v>44.728200000000001</v>
      </c>
      <c r="P19" s="244">
        <f t="shared" si="6"/>
        <v>44.728200000000001</v>
      </c>
      <c r="R19" s="244">
        <f t="shared" si="7"/>
        <v>62.122500000000002</v>
      </c>
      <c r="S19" s="244">
        <f t="shared" si="24"/>
        <v>47.213100000000004</v>
      </c>
      <c r="T19" s="244">
        <f t="shared" si="8"/>
        <v>42.491790000000002</v>
      </c>
      <c r="U19" s="244">
        <f t="shared" si="2"/>
        <v>42.491790000000002</v>
      </c>
      <c r="V19" s="229">
        <v>34</v>
      </c>
      <c r="W19" s="244">
        <v>36</v>
      </c>
      <c r="X19" s="244">
        <f t="shared" si="9"/>
        <v>41.4</v>
      </c>
      <c r="Y19" s="309">
        <v>53.99</v>
      </c>
      <c r="Z19" s="244">
        <f t="shared" si="10"/>
        <v>-12.590000000000003</v>
      </c>
      <c r="AA19" s="244">
        <f t="shared" si="11"/>
        <v>30.410628019323667</v>
      </c>
      <c r="AB19" s="244">
        <f t="shared" si="12"/>
        <v>54.473684210526315</v>
      </c>
      <c r="AC19" s="229">
        <v>71.040000000000006</v>
      </c>
      <c r="AD19" s="317">
        <f t="shared" si="13"/>
        <v>60.384</v>
      </c>
      <c r="AE19" s="244">
        <f t="shared" si="14"/>
        <v>45.891840000000002</v>
      </c>
      <c r="AF19" s="244">
        <f t="shared" si="15"/>
        <v>41.302656000000006</v>
      </c>
      <c r="AG19" s="244">
        <v>33.28</v>
      </c>
      <c r="AH19" s="244">
        <v>32.119999999999997</v>
      </c>
      <c r="AI19" s="244"/>
      <c r="AJ19" s="244">
        <v>33.28</v>
      </c>
      <c r="AK19" s="244">
        <f t="shared" si="16"/>
        <v>8.0226560000000049</v>
      </c>
      <c r="AL19" s="432">
        <v>27.15</v>
      </c>
      <c r="AM19" s="432">
        <v>25.87</v>
      </c>
      <c r="AN19"/>
      <c r="AO19" s="232">
        <v>30</v>
      </c>
      <c r="AP19" s="244"/>
      <c r="AQ19" s="244">
        <f t="shared" si="17"/>
        <v>43.199999999999996</v>
      </c>
      <c r="AR19" s="244"/>
      <c r="AS19" s="244">
        <f t="shared" si="18"/>
        <v>32.831999999999994</v>
      </c>
      <c r="AU19" s="281">
        <v>27.1</v>
      </c>
      <c r="AV19" s="244">
        <f t="shared" si="19"/>
        <v>49.68333333333333</v>
      </c>
      <c r="AW19" s="457">
        <f t="shared" si="20"/>
        <v>29.810000000000002</v>
      </c>
      <c r="AX19" s="244">
        <f t="shared" si="21"/>
        <v>32.294166666666669</v>
      </c>
      <c r="AY19" s="458">
        <f t="shared" si="22"/>
        <v>37.759333333333331</v>
      </c>
      <c r="BA19" s="458">
        <f t="shared" si="23"/>
        <v>-7.9493333333333283</v>
      </c>
    </row>
    <row r="20" spans="1:53" ht="18" customHeight="1" thickBot="1">
      <c r="A20" s="727" t="s">
        <v>203</v>
      </c>
      <c r="B20" s="728"/>
      <c r="C20" s="104">
        <v>125</v>
      </c>
      <c r="D20" s="105" t="s">
        <v>23</v>
      </c>
      <c r="E20" s="105" t="s">
        <v>89</v>
      </c>
      <c r="F20" s="341">
        <f t="shared" si="3"/>
        <v>55</v>
      </c>
      <c r="G20" s="106" t="s">
        <v>8</v>
      </c>
      <c r="H20" s="233">
        <v>55.22</v>
      </c>
      <c r="I20" s="320">
        <v>22</v>
      </c>
      <c r="J20" s="320"/>
      <c r="K20" s="266"/>
      <c r="L20" s="244"/>
      <c r="M20" s="244">
        <f t="shared" si="0"/>
        <v>49.698</v>
      </c>
      <c r="N20" s="244">
        <f t="shared" si="4"/>
        <v>65.392105263157902</v>
      </c>
      <c r="O20" s="244">
        <f t="shared" si="5"/>
        <v>44.728200000000001</v>
      </c>
      <c r="P20" s="244">
        <f t="shared" si="6"/>
        <v>44.728200000000001</v>
      </c>
      <c r="R20" s="244">
        <f t="shared" si="7"/>
        <v>62.122500000000002</v>
      </c>
      <c r="S20" s="244">
        <f t="shared" si="24"/>
        <v>47.213100000000004</v>
      </c>
      <c r="T20" s="244">
        <f t="shared" si="8"/>
        <v>42.491790000000002</v>
      </c>
      <c r="U20" s="244">
        <f t="shared" si="2"/>
        <v>42.491790000000002</v>
      </c>
      <c r="V20" s="229">
        <v>40</v>
      </c>
      <c r="W20" s="244">
        <v>42</v>
      </c>
      <c r="X20" s="244">
        <f t="shared" si="9"/>
        <v>48.3</v>
      </c>
      <c r="Y20" s="309">
        <v>53.99</v>
      </c>
      <c r="Z20" s="244">
        <f t="shared" si="10"/>
        <v>-5.6900000000000048</v>
      </c>
      <c r="AA20" s="244">
        <f t="shared" si="11"/>
        <v>11.780538302277435</v>
      </c>
      <c r="AB20" s="244">
        <f t="shared" si="12"/>
        <v>63.55263157894737</v>
      </c>
      <c r="AC20" s="229">
        <v>71.040000000000006</v>
      </c>
      <c r="AD20" s="317">
        <f t="shared" si="13"/>
        <v>60.384</v>
      </c>
      <c r="AE20" s="244">
        <f t="shared" si="14"/>
        <v>45.891840000000002</v>
      </c>
      <c r="AF20" s="244">
        <f t="shared" si="15"/>
        <v>41.302656000000006</v>
      </c>
      <c r="AG20" s="244">
        <v>22</v>
      </c>
      <c r="AH20" s="244">
        <v>22</v>
      </c>
      <c r="AI20" s="244"/>
      <c r="AJ20" s="244">
        <v>22</v>
      </c>
      <c r="AK20" s="244">
        <f t="shared" si="16"/>
        <v>19.302656000000006</v>
      </c>
      <c r="AL20" s="432">
        <v>24.08</v>
      </c>
      <c r="AM20" s="432">
        <v>30</v>
      </c>
      <c r="AN20"/>
      <c r="AO20" s="232">
        <v>30</v>
      </c>
      <c r="AP20" s="244"/>
      <c r="AQ20" s="244">
        <f t="shared" si="17"/>
        <v>43.199999999999996</v>
      </c>
      <c r="AR20" s="244"/>
      <c r="AS20" s="244">
        <f t="shared" si="18"/>
        <v>32.831999999999994</v>
      </c>
      <c r="AU20" s="350">
        <v>30</v>
      </c>
      <c r="AV20" s="244">
        <f t="shared" si="19"/>
        <v>55</v>
      </c>
      <c r="AW20" s="457">
        <f t="shared" si="20"/>
        <v>33</v>
      </c>
      <c r="AX20" s="244">
        <f t="shared" si="21"/>
        <v>35.75</v>
      </c>
      <c r="AY20" s="458">
        <f t="shared" si="22"/>
        <v>41.8</v>
      </c>
      <c r="BA20" s="458">
        <f t="shared" si="23"/>
        <v>-8.7999999999999972</v>
      </c>
    </row>
    <row r="21" spans="1:53" ht="18" customHeight="1" thickBot="1">
      <c r="A21" s="725" t="s">
        <v>187</v>
      </c>
      <c r="B21" s="726"/>
      <c r="C21" s="101">
        <v>80</v>
      </c>
      <c r="D21" s="102" t="s">
        <v>23</v>
      </c>
      <c r="E21" s="102" t="s">
        <v>89</v>
      </c>
      <c r="F21" s="307">
        <f t="shared" si="3"/>
        <v>64.166666666666671</v>
      </c>
      <c r="G21" s="103" t="s">
        <v>8</v>
      </c>
      <c r="H21" s="233">
        <v>78.41</v>
      </c>
      <c r="I21" s="320"/>
      <c r="J21" s="320"/>
      <c r="K21" s="266"/>
      <c r="L21" s="244"/>
      <c r="M21" s="244">
        <f t="shared" si="0"/>
        <v>70.569000000000003</v>
      </c>
      <c r="N21" s="244">
        <f t="shared" si="4"/>
        <v>92.853947368421061</v>
      </c>
      <c r="O21" s="244">
        <f t="shared" si="5"/>
        <v>63.512100000000004</v>
      </c>
      <c r="P21" s="244">
        <f t="shared" si="6"/>
        <v>63.512100000000004</v>
      </c>
      <c r="R21" s="244">
        <f t="shared" si="7"/>
        <v>88.211250000000007</v>
      </c>
      <c r="S21" s="244">
        <f t="shared" si="24"/>
        <v>67.04055000000001</v>
      </c>
      <c r="T21" s="244">
        <f t="shared" si="8"/>
        <v>60.336495000000014</v>
      </c>
      <c r="U21" s="244">
        <f t="shared" si="2"/>
        <v>60.336495000000014</v>
      </c>
      <c r="V21" s="229">
        <v>35</v>
      </c>
      <c r="W21" s="244">
        <v>37</v>
      </c>
      <c r="X21" s="244">
        <f t="shared" si="9"/>
        <v>42.55</v>
      </c>
      <c r="Y21" s="309">
        <v>76.569999999999993</v>
      </c>
      <c r="Z21" s="244">
        <f t="shared" si="10"/>
        <v>-34.019999999999996</v>
      </c>
      <c r="AA21" s="244">
        <f t="shared" si="11"/>
        <v>79.952996474735585</v>
      </c>
      <c r="AB21" s="244">
        <f t="shared" si="12"/>
        <v>55.986842105263158</v>
      </c>
      <c r="AC21" s="229">
        <v>100.75</v>
      </c>
      <c r="AD21" s="317">
        <f t="shared" si="13"/>
        <v>85.637500000000003</v>
      </c>
      <c r="AE21" s="244">
        <f t="shared" si="14"/>
        <v>65.084500000000006</v>
      </c>
      <c r="AF21" s="244">
        <f t="shared" si="15"/>
        <v>58.576050000000009</v>
      </c>
      <c r="AG21" s="244"/>
      <c r="AH21" s="244"/>
      <c r="AI21" s="244">
        <v>27</v>
      </c>
      <c r="AJ21" s="244">
        <v>27</v>
      </c>
      <c r="AK21" s="244">
        <f t="shared" si="16"/>
        <v>31.576050000000009</v>
      </c>
      <c r="AL21" s="432"/>
      <c r="AM21" s="432"/>
      <c r="AN21" s="429">
        <v>35</v>
      </c>
      <c r="AO21" s="232">
        <v>35</v>
      </c>
      <c r="AP21" s="244"/>
      <c r="AQ21" s="244">
        <f t="shared" si="17"/>
        <v>50.4</v>
      </c>
      <c r="AR21" s="244"/>
      <c r="AS21" s="244">
        <f t="shared" si="18"/>
        <v>38.304000000000002</v>
      </c>
      <c r="AU21" s="350">
        <v>35</v>
      </c>
      <c r="AV21" s="244">
        <f t="shared" si="19"/>
        <v>64.166666666666671</v>
      </c>
      <c r="AW21" s="457">
        <f t="shared" si="20"/>
        <v>38.5</v>
      </c>
      <c r="AX21" s="244">
        <f t="shared" si="21"/>
        <v>41.708333333333336</v>
      </c>
      <c r="AY21" s="458">
        <f t="shared" si="22"/>
        <v>48.766666666666673</v>
      </c>
      <c r="BA21" s="458">
        <f t="shared" si="23"/>
        <v>-10.266666666666673</v>
      </c>
    </row>
    <row r="22" spans="1:53" ht="18" customHeight="1" thickBot="1">
      <c r="A22" s="727" t="s">
        <v>188</v>
      </c>
      <c r="B22" s="728"/>
      <c r="C22" s="104">
        <v>80</v>
      </c>
      <c r="D22" s="105"/>
      <c r="E22" s="105" t="s">
        <v>89</v>
      </c>
      <c r="F22" s="341">
        <f t="shared" si="3"/>
        <v>64.166666666666671</v>
      </c>
      <c r="G22" s="106" t="s">
        <v>8</v>
      </c>
      <c r="H22" s="233">
        <v>78.41</v>
      </c>
      <c r="I22" s="320"/>
      <c r="J22" s="320"/>
      <c r="K22" s="266"/>
      <c r="L22" s="244"/>
      <c r="M22" s="244">
        <f t="shared" si="0"/>
        <v>70.569000000000003</v>
      </c>
      <c r="N22" s="244">
        <f t="shared" si="4"/>
        <v>92.853947368421061</v>
      </c>
      <c r="O22" s="244">
        <f t="shared" si="5"/>
        <v>63.512100000000004</v>
      </c>
      <c r="P22" s="244">
        <f t="shared" si="6"/>
        <v>63.512100000000004</v>
      </c>
      <c r="R22" s="244">
        <f t="shared" si="7"/>
        <v>88.211250000000007</v>
      </c>
      <c r="S22" s="244">
        <f t="shared" si="24"/>
        <v>67.04055000000001</v>
      </c>
      <c r="T22" s="244">
        <f t="shared" si="8"/>
        <v>60.336495000000014</v>
      </c>
      <c r="U22" s="244">
        <f t="shared" si="2"/>
        <v>60.336495000000014</v>
      </c>
      <c r="V22" s="229">
        <v>44</v>
      </c>
      <c r="W22" s="244">
        <v>46</v>
      </c>
      <c r="X22" s="244">
        <f t="shared" si="9"/>
        <v>52.9</v>
      </c>
      <c r="Y22" s="309">
        <v>76.569999999999993</v>
      </c>
      <c r="Z22" s="244">
        <f t="shared" si="10"/>
        <v>-23.669999999999995</v>
      </c>
      <c r="AA22" s="244">
        <f t="shared" si="11"/>
        <v>44.744801512287324</v>
      </c>
      <c r="AB22" s="244">
        <f t="shared" si="12"/>
        <v>69.60526315789474</v>
      </c>
      <c r="AC22" s="229">
        <v>100.75</v>
      </c>
      <c r="AD22" s="317">
        <f t="shared" si="13"/>
        <v>85.637500000000003</v>
      </c>
      <c r="AE22" s="244">
        <f t="shared" si="14"/>
        <v>65.084500000000006</v>
      </c>
      <c r="AF22" s="244">
        <f t="shared" si="15"/>
        <v>58.576050000000009</v>
      </c>
      <c r="AG22" s="244"/>
      <c r="AH22" s="244"/>
      <c r="AI22" s="244">
        <v>27</v>
      </c>
      <c r="AJ22" s="244">
        <v>27</v>
      </c>
      <c r="AK22" s="244">
        <f t="shared" si="16"/>
        <v>31.576050000000009</v>
      </c>
      <c r="AL22" s="432"/>
      <c r="AM22" s="432"/>
      <c r="AN22" s="429">
        <v>35</v>
      </c>
      <c r="AO22" s="232">
        <v>35</v>
      </c>
      <c r="AP22" s="244"/>
      <c r="AQ22" s="244">
        <f t="shared" si="17"/>
        <v>50.4</v>
      </c>
      <c r="AR22" s="244"/>
      <c r="AS22" s="244">
        <f t="shared" si="18"/>
        <v>38.304000000000002</v>
      </c>
      <c r="AU22" s="350">
        <v>35</v>
      </c>
      <c r="AV22" s="244">
        <f t="shared" si="19"/>
        <v>64.166666666666671</v>
      </c>
      <c r="AW22" s="457">
        <f t="shared" si="20"/>
        <v>38.5</v>
      </c>
      <c r="AX22" s="244">
        <f t="shared" si="21"/>
        <v>41.708333333333336</v>
      </c>
      <c r="AY22" s="458">
        <f t="shared" si="22"/>
        <v>48.766666666666673</v>
      </c>
      <c r="BA22" s="458">
        <f t="shared" si="23"/>
        <v>-10.266666666666673</v>
      </c>
    </row>
    <row r="23" spans="1:53" ht="18" customHeight="1" thickBot="1">
      <c r="A23" s="725" t="s">
        <v>189</v>
      </c>
      <c r="B23" s="726"/>
      <c r="C23" s="101">
        <v>80</v>
      </c>
      <c r="D23" s="102" t="s">
        <v>23</v>
      </c>
      <c r="E23" s="102" t="s">
        <v>89</v>
      </c>
      <c r="F23" s="307">
        <f t="shared" si="3"/>
        <v>64.166666666666671</v>
      </c>
      <c r="G23" s="103" t="s">
        <v>8</v>
      </c>
      <c r="H23" s="233">
        <v>78.41</v>
      </c>
      <c r="I23" s="320"/>
      <c r="J23" s="320"/>
      <c r="K23" s="266"/>
      <c r="L23" s="244"/>
      <c r="M23" s="244">
        <f t="shared" si="0"/>
        <v>70.569000000000003</v>
      </c>
      <c r="N23" s="244">
        <f t="shared" si="4"/>
        <v>92.853947368421061</v>
      </c>
      <c r="O23" s="244">
        <f t="shared" si="5"/>
        <v>63.512100000000004</v>
      </c>
      <c r="P23" s="244">
        <f t="shared" si="6"/>
        <v>63.512100000000004</v>
      </c>
      <c r="R23" s="244">
        <f t="shared" si="7"/>
        <v>88.211250000000007</v>
      </c>
      <c r="S23" s="244">
        <f t="shared" si="24"/>
        <v>67.04055000000001</v>
      </c>
      <c r="T23" s="244">
        <f t="shared" si="8"/>
        <v>60.336495000000014</v>
      </c>
      <c r="U23" s="244">
        <f t="shared" si="2"/>
        <v>60.336495000000014</v>
      </c>
      <c r="V23" s="229">
        <v>50</v>
      </c>
      <c r="W23" s="244">
        <v>52</v>
      </c>
      <c r="X23" s="244">
        <f t="shared" si="9"/>
        <v>59.8</v>
      </c>
      <c r="Y23" s="309">
        <v>76.569999999999993</v>
      </c>
      <c r="Z23" s="244">
        <f t="shared" si="10"/>
        <v>-16.769999999999996</v>
      </c>
      <c r="AA23" s="244">
        <f t="shared" si="11"/>
        <v>28.043478260869563</v>
      </c>
      <c r="AB23" s="244">
        <f t="shared" si="12"/>
        <v>78.684210526315795</v>
      </c>
      <c r="AC23" s="229">
        <v>100.75</v>
      </c>
      <c r="AD23" s="317">
        <f t="shared" si="13"/>
        <v>85.637500000000003</v>
      </c>
      <c r="AE23" s="244">
        <f t="shared" si="14"/>
        <v>65.084500000000006</v>
      </c>
      <c r="AF23" s="244">
        <f t="shared" si="15"/>
        <v>58.576050000000009</v>
      </c>
      <c r="AG23" s="244"/>
      <c r="AH23" s="244"/>
      <c r="AI23" s="244">
        <v>27</v>
      </c>
      <c r="AJ23" s="244">
        <v>27</v>
      </c>
      <c r="AK23" s="244">
        <f t="shared" si="16"/>
        <v>31.576050000000009</v>
      </c>
      <c r="AL23" s="432"/>
      <c r="AM23" s="432"/>
      <c r="AN23" s="429">
        <v>35</v>
      </c>
      <c r="AO23" s="232">
        <v>35</v>
      </c>
      <c r="AP23" s="244"/>
      <c r="AQ23" s="244">
        <f t="shared" si="17"/>
        <v>50.4</v>
      </c>
      <c r="AR23" s="244"/>
      <c r="AS23" s="244">
        <f t="shared" si="18"/>
        <v>38.304000000000002</v>
      </c>
      <c r="AU23" s="350">
        <v>35</v>
      </c>
      <c r="AV23" s="244">
        <f t="shared" si="19"/>
        <v>64.166666666666671</v>
      </c>
      <c r="AW23" s="457">
        <f t="shared" si="20"/>
        <v>38.5</v>
      </c>
      <c r="AX23" s="244">
        <f t="shared" si="21"/>
        <v>41.708333333333336</v>
      </c>
      <c r="AY23" s="458">
        <f t="shared" si="22"/>
        <v>48.766666666666673</v>
      </c>
      <c r="BA23" s="458">
        <f t="shared" si="23"/>
        <v>-10.266666666666673</v>
      </c>
    </row>
    <row r="24" spans="1:53" ht="18" customHeight="1" thickBot="1">
      <c r="A24" s="727" t="s">
        <v>738</v>
      </c>
      <c r="B24" s="728"/>
      <c r="C24" s="104">
        <v>125</v>
      </c>
      <c r="D24" s="105" t="s">
        <v>23</v>
      </c>
      <c r="E24" s="105" t="s">
        <v>89</v>
      </c>
      <c r="F24" s="341">
        <f t="shared" si="3"/>
        <v>33</v>
      </c>
      <c r="G24" s="106" t="s">
        <v>8</v>
      </c>
      <c r="H24" s="233">
        <v>34.130000000000003</v>
      </c>
      <c r="I24" s="320"/>
      <c r="J24" s="320"/>
      <c r="K24" s="266"/>
      <c r="L24" s="244"/>
      <c r="M24" s="244">
        <f t="shared" si="0"/>
        <v>30.717000000000002</v>
      </c>
      <c r="N24" s="244">
        <f t="shared" si="4"/>
        <v>40.4171052631579</v>
      </c>
      <c r="O24" s="244">
        <f t="shared" si="5"/>
        <v>27.645300000000002</v>
      </c>
      <c r="P24" s="244">
        <f t="shared" si="6"/>
        <v>27.645300000000002</v>
      </c>
      <c r="R24" s="244">
        <f t="shared" si="7"/>
        <v>38.396250000000002</v>
      </c>
      <c r="S24" s="244">
        <f t="shared" si="24"/>
        <v>29.181150000000002</v>
      </c>
      <c r="T24" s="244">
        <f t="shared" si="8"/>
        <v>26.263035000000002</v>
      </c>
      <c r="U24" s="244">
        <f t="shared" si="2"/>
        <v>26.263035000000002</v>
      </c>
      <c r="V24" s="229">
        <v>18</v>
      </c>
      <c r="W24" s="244">
        <v>20</v>
      </c>
      <c r="X24" s="244">
        <f t="shared" si="9"/>
        <v>23</v>
      </c>
      <c r="Y24" s="309">
        <v>33.32</v>
      </c>
      <c r="Z24" s="244">
        <f t="shared" si="10"/>
        <v>-10.32</v>
      </c>
      <c r="AA24" s="244">
        <f t="shared" si="11"/>
        <v>44.869565217391312</v>
      </c>
      <c r="AB24" s="244">
        <f t="shared" si="12"/>
        <v>30.263157894736842</v>
      </c>
      <c r="AC24" s="229">
        <v>43.84</v>
      </c>
      <c r="AD24" s="317">
        <f t="shared" si="13"/>
        <v>37.264000000000003</v>
      </c>
      <c r="AE24" s="244">
        <f t="shared" si="14"/>
        <v>28.320640000000001</v>
      </c>
      <c r="AF24" s="244">
        <f t="shared" si="15"/>
        <v>25.488576000000002</v>
      </c>
      <c r="AG24" s="244"/>
      <c r="AH24" s="244"/>
      <c r="AI24" s="244">
        <v>18</v>
      </c>
      <c r="AJ24" s="244">
        <v>18</v>
      </c>
      <c r="AK24" s="244">
        <f t="shared" si="16"/>
        <v>7.4885760000000019</v>
      </c>
      <c r="AL24" s="432"/>
      <c r="AM24" s="432"/>
      <c r="AN24" s="429">
        <v>18</v>
      </c>
      <c r="AO24" s="232">
        <v>18</v>
      </c>
      <c r="AP24" s="244"/>
      <c r="AQ24" s="244">
        <f t="shared" si="17"/>
        <v>25.919999999999998</v>
      </c>
      <c r="AR24" s="244"/>
      <c r="AS24" s="244">
        <f t="shared" si="18"/>
        <v>19.699199999999998</v>
      </c>
      <c r="AU24" s="350">
        <v>18</v>
      </c>
      <c r="AV24" s="244">
        <f t="shared" si="19"/>
        <v>33</v>
      </c>
      <c r="AW24" s="457">
        <f t="shared" si="20"/>
        <v>19.8</v>
      </c>
      <c r="AX24" s="244">
        <f t="shared" si="21"/>
        <v>21.45</v>
      </c>
      <c r="AY24" s="458">
        <f t="shared" si="22"/>
        <v>25.080000000000002</v>
      </c>
      <c r="BA24" s="458">
        <f t="shared" si="23"/>
        <v>-5.2800000000000011</v>
      </c>
    </row>
    <row r="25" spans="1:53" ht="18" customHeight="1" thickBot="1">
      <c r="A25" s="725" t="s">
        <v>204</v>
      </c>
      <c r="B25" s="726"/>
      <c r="C25" s="101">
        <v>125</v>
      </c>
      <c r="D25" s="102" t="s">
        <v>23</v>
      </c>
      <c r="E25" s="102" t="s">
        <v>89</v>
      </c>
      <c r="F25" s="307">
        <f t="shared" si="3"/>
        <v>31.166666666666671</v>
      </c>
      <c r="G25" s="103" t="s">
        <v>8</v>
      </c>
      <c r="H25" s="233">
        <v>26.68</v>
      </c>
      <c r="I25" s="320">
        <v>17.399999999999999</v>
      </c>
      <c r="J25" s="320"/>
      <c r="K25" s="266"/>
      <c r="L25" s="244"/>
      <c r="M25" s="244">
        <f t="shared" si="0"/>
        <v>24.012</v>
      </c>
      <c r="N25" s="244">
        <f t="shared" si="4"/>
        <v>31.594736842105259</v>
      </c>
      <c r="O25" s="244">
        <f t="shared" si="5"/>
        <v>21.610800000000001</v>
      </c>
      <c r="P25" s="244">
        <f t="shared" si="6"/>
        <v>21.610800000000001</v>
      </c>
      <c r="R25" s="244">
        <f t="shared" si="7"/>
        <v>30.014999999999993</v>
      </c>
      <c r="S25" s="244">
        <f t="shared" si="24"/>
        <v>22.811399999999995</v>
      </c>
      <c r="T25" s="244">
        <f t="shared" si="8"/>
        <v>20.530259999999995</v>
      </c>
      <c r="U25" s="244">
        <f t="shared" si="2"/>
        <v>20.530259999999995</v>
      </c>
      <c r="V25" s="229">
        <v>19</v>
      </c>
      <c r="W25" s="244">
        <v>21</v>
      </c>
      <c r="X25" s="244">
        <f t="shared" si="9"/>
        <v>24.15</v>
      </c>
      <c r="Y25" s="309">
        <v>26.1</v>
      </c>
      <c r="Z25" s="244">
        <f t="shared" si="10"/>
        <v>-1.9500000000000028</v>
      </c>
      <c r="AA25" s="244">
        <f t="shared" si="11"/>
        <v>8.0745341614906891</v>
      </c>
      <c r="AB25" s="244">
        <f t="shared" si="12"/>
        <v>31.776315789473685</v>
      </c>
      <c r="AC25" s="229">
        <v>34.340000000000003</v>
      </c>
      <c r="AD25" s="317">
        <f t="shared" si="13"/>
        <v>29.189000000000004</v>
      </c>
      <c r="AE25" s="244">
        <f t="shared" si="14"/>
        <v>22.183640000000004</v>
      </c>
      <c r="AF25" s="244">
        <f t="shared" si="15"/>
        <v>19.965276000000003</v>
      </c>
      <c r="AG25" s="244">
        <v>17.399999999999999</v>
      </c>
      <c r="AH25" s="244">
        <v>18.64</v>
      </c>
      <c r="AI25" s="244"/>
      <c r="AJ25" s="244">
        <v>18.64</v>
      </c>
      <c r="AK25" s="244">
        <f t="shared" si="16"/>
        <v>1.3252760000000023</v>
      </c>
      <c r="AL25" s="432">
        <v>17</v>
      </c>
      <c r="AM25" s="432">
        <v>15.5</v>
      </c>
      <c r="AN25"/>
      <c r="AO25" s="232">
        <v>17</v>
      </c>
      <c r="AP25" s="244"/>
      <c r="AQ25" s="244">
        <f t="shared" si="17"/>
        <v>24.48</v>
      </c>
      <c r="AR25" s="244"/>
      <c r="AS25" s="244">
        <f t="shared" si="18"/>
        <v>18.604800000000001</v>
      </c>
      <c r="AU25" s="350">
        <v>17</v>
      </c>
      <c r="AV25" s="244">
        <f t="shared" si="19"/>
        <v>31.166666666666671</v>
      </c>
      <c r="AW25" s="457">
        <f t="shared" si="20"/>
        <v>18.700000000000003</v>
      </c>
      <c r="AX25" s="244">
        <f t="shared" si="21"/>
        <v>20.258333333333336</v>
      </c>
      <c r="AY25" s="458">
        <f t="shared" si="22"/>
        <v>23.686666666666671</v>
      </c>
      <c r="BA25" s="458">
        <f t="shared" si="23"/>
        <v>-4.9866666666666681</v>
      </c>
    </row>
    <row r="26" spans="1:53" ht="18" customHeight="1" thickBot="1">
      <c r="A26" s="727" t="s">
        <v>617</v>
      </c>
      <c r="B26" s="728"/>
      <c r="C26" s="104">
        <v>125</v>
      </c>
      <c r="D26" s="105" t="s">
        <v>23</v>
      </c>
      <c r="E26" s="105" t="s">
        <v>89</v>
      </c>
      <c r="F26" s="341">
        <f t="shared" si="3"/>
        <v>24.970000000000002</v>
      </c>
      <c r="G26" s="106" t="s">
        <v>8</v>
      </c>
      <c r="H26" s="233"/>
      <c r="I26" s="320"/>
      <c r="J26" s="320"/>
      <c r="K26" s="266"/>
      <c r="L26" s="244"/>
      <c r="M26" s="244"/>
      <c r="N26" s="244"/>
      <c r="O26" s="244"/>
      <c r="P26" s="244"/>
      <c r="R26" s="244"/>
      <c r="S26" s="244"/>
      <c r="T26" s="244"/>
      <c r="U26" s="244"/>
      <c r="V26" s="229"/>
      <c r="W26" s="244"/>
      <c r="X26" s="244"/>
      <c r="Y26" s="309"/>
      <c r="Z26" s="244"/>
      <c r="AA26" s="244"/>
      <c r="AB26" s="244"/>
      <c r="AC26" s="229"/>
      <c r="AD26" s="317"/>
      <c r="AE26" s="244"/>
      <c r="AF26" s="244"/>
      <c r="AG26" s="244"/>
      <c r="AH26" s="244"/>
      <c r="AI26" s="244"/>
      <c r="AJ26" s="244"/>
      <c r="AK26" s="244"/>
      <c r="AL26" s="432">
        <v>13.91</v>
      </c>
      <c r="AM26" s="432"/>
      <c r="AN26"/>
      <c r="AO26" s="232">
        <v>15</v>
      </c>
      <c r="AP26" s="244"/>
      <c r="AQ26" s="244">
        <f t="shared" si="17"/>
        <v>21.599999999999998</v>
      </c>
      <c r="AR26" s="244"/>
      <c r="AS26" s="244">
        <f t="shared" si="18"/>
        <v>16.415999999999997</v>
      </c>
      <c r="AU26" s="350">
        <v>13.62</v>
      </c>
      <c r="AV26" s="244">
        <f t="shared" si="19"/>
        <v>24.970000000000002</v>
      </c>
      <c r="AW26" s="457">
        <f t="shared" si="20"/>
        <v>14.982000000000001</v>
      </c>
      <c r="AX26" s="244">
        <f t="shared" si="21"/>
        <v>16.230500000000003</v>
      </c>
      <c r="AY26" s="458">
        <f t="shared" si="22"/>
        <v>18.977200000000003</v>
      </c>
      <c r="BA26" s="458">
        <f t="shared" si="23"/>
        <v>-3.9952000000000023</v>
      </c>
    </row>
    <row r="27" spans="1:53" ht="24" customHeight="1" thickBot="1">
      <c r="A27" s="725" t="s">
        <v>205</v>
      </c>
      <c r="B27" s="726"/>
      <c r="C27" s="101">
        <v>80</v>
      </c>
      <c r="D27" s="102" t="s">
        <v>23</v>
      </c>
      <c r="E27" s="102" t="s">
        <v>89</v>
      </c>
      <c r="F27" s="307">
        <f t="shared" si="3"/>
        <v>73.51666666666668</v>
      </c>
      <c r="G27" s="103" t="s">
        <v>8</v>
      </c>
      <c r="H27" s="233">
        <v>35.82</v>
      </c>
      <c r="I27" s="320">
        <v>23</v>
      </c>
      <c r="J27" s="320"/>
      <c r="K27" s="266"/>
      <c r="L27" s="244"/>
      <c r="M27" s="244">
        <f t="shared" si="0"/>
        <v>32.238</v>
      </c>
      <c r="N27" s="244">
        <f t="shared" si="4"/>
        <v>42.418421052631579</v>
      </c>
      <c r="O27" s="244">
        <f t="shared" si="5"/>
        <v>29.014199999999999</v>
      </c>
      <c r="P27" s="244">
        <f t="shared" si="6"/>
        <v>29.014199999999999</v>
      </c>
      <c r="R27" s="244">
        <f t="shared" si="7"/>
        <v>40.297499999999999</v>
      </c>
      <c r="S27" s="244">
        <f t="shared" si="24"/>
        <v>30.626100000000001</v>
      </c>
      <c r="T27" s="244">
        <f t="shared" si="8"/>
        <v>27.563490000000002</v>
      </c>
      <c r="U27" s="244">
        <f t="shared" si="2"/>
        <v>27.563490000000002</v>
      </c>
      <c r="V27" s="229">
        <v>23</v>
      </c>
      <c r="W27" s="244">
        <v>25</v>
      </c>
      <c r="X27" s="244">
        <f t="shared" si="9"/>
        <v>28.749999999999996</v>
      </c>
      <c r="Y27" s="309">
        <v>35</v>
      </c>
      <c r="Z27" s="244">
        <f t="shared" si="10"/>
        <v>-6.2500000000000036</v>
      </c>
      <c r="AA27" s="244">
        <f t="shared" si="11"/>
        <v>21.739130434782624</v>
      </c>
      <c r="AB27" s="244">
        <f t="shared" si="12"/>
        <v>37.828947368421048</v>
      </c>
      <c r="AC27" s="229">
        <v>46.05</v>
      </c>
      <c r="AD27" s="317">
        <f t="shared" si="13"/>
        <v>39.142499999999998</v>
      </c>
      <c r="AE27" s="244">
        <f t="shared" si="14"/>
        <v>29.7483</v>
      </c>
      <c r="AF27" s="244">
        <f t="shared" si="15"/>
        <v>26.77347</v>
      </c>
      <c r="AG27" s="244">
        <v>23</v>
      </c>
      <c r="AH27" s="244">
        <v>23</v>
      </c>
      <c r="AI27" s="244"/>
      <c r="AJ27" s="244">
        <v>23</v>
      </c>
      <c r="AK27" s="244">
        <f t="shared" si="16"/>
        <v>3.7734699999999997</v>
      </c>
      <c r="AL27" s="433">
        <v>41.79</v>
      </c>
      <c r="AM27" s="433">
        <v>39.11</v>
      </c>
      <c r="AN27"/>
      <c r="AO27" s="434">
        <v>42</v>
      </c>
      <c r="AP27" s="244"/>
      <c r="AQ27" s="244">
        <f t="shared" si="17"/>
        <v>60.48</v>
      </c>
      <c r="AR27" s="244"/>
      <c r="AS27" s="244">
        <f t="shared" si="18"/>
        <v>45.964799999999997</v>
      </c>
      <c r="AU27" s="281">
        <v>40.1</v>
      </c>
      <c r="AV27" s="244">
        <f t="shared" si="19"/>
        <v>73.51666666666668</v>
      </c>
      <c r="AW27" s="457">
        <f t="shared" si="20"/>
        <v>44.110000000000007</v>
      </c>
      <c r="AX27" s="244">
        <f t="shared" si="21"/>
        <v>47.785833333333343</v>
      </c>
      <c r="AY27" s="458">
        <f t="shared" si="22"/>
        <v>55.872666666666674</v>
      </c>
      <c r="BA27" s="458">
        <f t="shared" si="23"/>
        <v>-11.762666666666668</v>
      </c>
    </row>
    <row r="28" spans="1:53" ht="18" customHeight="1" thickBot="1">
      <c r="A28" s="727" t="s">
        <v>622</v>
      </c>
      <c r="B28" s="728"/>
      <c r="C28" s="104">
        <v>80</v>
      </c>
      <c r="D28" s="105"/>
      <c r="E28" s="105" t="s">
        <v>89</v>
      </c>
      <c r="F28" s="341">
        <f t="shared" si="3"/>
        <v>62.333333333333343</v>
      </c>
      <c r="G28" s="106" t="s">
        <v>8</v>
      </c>
      <c r="H28" s="233">
        <v>60.19</v>
      </c>
      <c r="I28" s="320"/>
      <c r="J28" s="320"/>
      <c r="K28" s="266"/>
      <c r="L28" s="244"/>
      <c r="M28" s="244">
        <f t="shared" si="0"/>
        <v>54.170999999999999</v>
      </c>
      <c r="N28" s="244">
        <f t="shared" si="4"/>
        <v>71.277631578947378</v>
      </c>
      <c r="O28" s="244">
        <f t="shared" si="5"/>
        <v>48.753900000000002</v>
      </c>
      <c r="P28" s="244">
        <f t="shared" si="6"/>
        <v>48.753900000000002</v>
      </c>
      <c r="R28" s="244">
        <f t="shared" si="7"/>
        <v>67.713750000000005</v>
      </c>
      <c r="S28" s="244">
        <f t="shared" si="24"/>
        <v>51.462450000000004</v>
      </c>
      <c r="T28" s="244">
        <f t="shared" si="8"/>
        <v>46.316205000000004</v>
      </c>
      <c r="U28" s="244">
        <f t="shared" si="2"/>
        <v>46.316205000000004</v>
      </c>
      <c r="V28" s="229">
        <v>24</v>
      </c>
      <c r="W28" s="244">
        <v>26</v>
      </c>
      <c r="X28" s="244">
        <f t="shared" si="9"/>
        <v>29.9</v>
      </c>
      <c r="Y28" s="309">
        <v>58.8</v>
      </c>
      <c r="Z28" s="244">
        <f t="shared" si="10"/>
        <v>-28.9</v>
      </c>
      <c r="AA28" s="244">
        <f t="shared" si="11"/>
        <v>96.655518394648851</v>
      </c>
      <c r="AB28" s="244">
        <f t="shared" si="12"/>
        <v>39.342105263157897</v>
      </c>
      <c r="AC28" s="229">
        <v>77.37</v>
      </c>
      <c r="AD28" s="317">
        <f t="shared" si="13"/>
        <v>65.764499999999998</v>
      </c>
      <c r="AE28" s="244">
        <f t="shared" si="14"/>
        <v>49.981020000000001</v>
      </c>
      <c r="AF28" s="244">
        <f t="shared" si="15"/>
        <v>44.982918000000005</v>
      </c>
      <c r="AG28" s="244"/>
      <c r="AH28" s="244"/>
      <c r="AI28" s="244">
        <v>24</v>
      </c>
      <c r="AJ28" s="244">
        <v>24</v>
      </c>
      <c r="AK28" s="244">
        <f t="shared" si="16"/>
        <v>20.982918000000005</v>
      </c>
      <c r="AL28" s="432"/>
      <c r="AM28" s="432"/>
      <c r="AN28" s="429">
        <v>34</v>
      </c>
      <c r="AO28" s="232">
        <v>34</v>
      </c>
      <c r="AP28" s="244"/>
      <c r="AQ28" s="244">
        <f t="shared" si="17"/>
        <v>48.96</v>
      </c>
      <c r="AR28" s="244"/>
      <c r="AS28" s="244">
        <f t="shared" si="18"/>
        <v>37.209600000000002</v>
      </c>
      <c r="AU28" s="350">
        <v>34</v>
      </c>
      <c r="AV28" s="244">
        <f t="shared" si="19"/>
        <v>62.333333333333343</v>
      </c>
      <c r="AW28" s="457">
        <f t="shared" si="20"/>
        <v>37.400000000000006</v>
      </c>
      <c r="AX28" s="244">
        <f t="shared" si="21"/>
        <v>40.516666666666673</v>
      </c>
      <c r="AY28" s="458">
        <f t="shared" si="22"/>
        <v>47.373333333333342</v>
      </c>
      <c r="BA28" s="458">
        <f t="shared" si="23"/>
        <v>-9.9733333333333363</v>
      </c>
    </row>
    <row r="29" spans="1:53" ht="18" customHeight="1" thickBot="1">
      <c r="A29" s="725" t="s">
        <v>206</v>
      </c>
      <c r="B29" s="726"/>
      <c r="C29" s="101">
        <v>125</v>
      </c>
      <c r="D29" s="102" t="s">
        <v>23</v>
      </c>
      <c r="E29" s="102" t="s">
        <v>89</v>
      </c>
      <c r="F29" s="307">
        <f t="shared" si="3"/>
        <v>48.986666666666665</v>
      </c>
      <c r="G29" s="103" t="s">
        <v>8</v>
      </c>
      <c r="H29" s="233">
        <v>45.11</v>
      </c>
      <c r="I29" s="320">
        <v>22</v>
      </c>
      <c r="J29" s="320"/>
      <c r="K29" s="266"/>
      <c r="L29" s="244"/>
      <c r="M29" s="244">
        <f t="shared" si="0"/>
        <v>40.599000000000004</v>
      </c>
      <c r="N29" s="244">
        <f t="shared" si="4"/>
        <v>53.419736842105273</v>
      </c>
      <c r="O29" s="244">
        <f t="shared" si="5"/>
        <v>36.539100000000005</v>
      </c>
      <c r="P29" s="244">
        <f t="shared" si="6"/>
        <v>36.539100000000005</v>
      </c>
      <c r="R29" s="244">
        <f t="shared" si="7"/>
        <v>50.748750000000008</v>
      </c>
      <c r="S29" s="244">
        <f t="shared" si="24"/>
        <v>38.569050000000004</v>
      </c>
      <c r="T29" s="244">
        <f t="shared" si="8"/>
        <v>34.712145000000007</v>
      </c>
      <c r="U29" s="244">
        <f t="shared" si="2"/>
        <v>34.712145000000007</v>
      </c>
      <c r="V29" s="229">
        <v>22</v>
      </c>
      <c r="W29" s="244">
        <v>24</v>
      </c>
      <c r="X29" s="244">
        <f t="shared" si="9"/>
        <v>27.599999999999998</v>
      </c>
      <c r="Y29" s="309">
        <v>44.05</v>
      </c>
      <c r="Z29" s="244">
        <f t="shared" si="10"/>
        <v>-16.45</v>
      </c>
      <c r="AA29" s="244">
        <f t="shared" si="11"/>
        <v>59.601449275362341</v>
      </c>
      <c r="AB29" s="244">
        <f t="shared" si="12"/>
        <v>36.315789473684205</v>
      </c>
      <c r="AC29" s="229">
        <v>57.97</v>
      </c>
      <c r="AD29" s="317">
        <f t="shared" si="13"/>
        <v>49.274499999999996</v>
      </c>
      <c r="AE29" s="244">
        <f t="shared" si="14"/>
        <v>37.448619999999998</v>
      </c>
      <c r="AF29" s="244">
        <f t="shared" si="15"/>
        <v>33.703758000000001</v>
      </c>
      <c r="AG29" s="244">
        <v>22</v>
      </c>
      <c r="AH29" s="244">
        <v>22</v>
      </c>
      <c r="AI29" s="244"/>
      <c r="AJ29" s="244">
        <v>22</v>
      </c>
      <c r="AK29" s="244">
        <f t="shared" si="16"/>
        <v>11.703758000000001</v>
      </c>
      <c r="AL29" s="433">
        <v>29.44</v>
      </c>
      <c r="AM29" s="432">
        <v>20.34</v>
      </c>
      <c r="AN29"/>
      <c r="AO29" s="434">
        <v>30</v>
      </c>
      <c r="AP29" s="244"/>
      <c r="AQ29" s="244">
        <f t="shared" si="17"/>
        <v>43.199999999999996</v>
      </c>
      <c r="AR29" s="244"/>
      <c r="AS29" s="244">
        <f t="shared" si="18"/>
        <v>32.831999999999994</v>
      </c>
      <c r="AU29" s="281">
        <v>26.72</v>
      </c>
      <c r="AV29" s="244">
        <f t="shared" si="19"/>
        <v>48.986666666666665</v>
      </c>
      <c r="AW29" s="457">
        <f t="shared" si="20"/>
        <v>29.391999999999999</v>
      </c>
      <c r="AX29" s="244">
        <f t="shared" si="21"/>
        <v>31.841333333333335</v>
      </c>
      <c r="AY29" s="458">
        <f t="shared" si="22"/>
        <v>37.229866666666666</v>
      </c>
      <c r="BA29" s="458">
        <f t="shared" si="23"/>
        <v>-7.8378666666666668</v>
      </c>
    </row>
    <row r="30" spans="1:53" ht="18" customHeight="1" thickBot="1">
      <c r="A30" s="727" t="s">
        <v>623</v>
      </c>
      <c r="B30" s="728"/>
      <c r="C30" s="104">
        <v>125</v>
      </c>
      <c r="D30" s="105"/>
      <c r="E30" s="105" t="s">
        <v>89</v>
      </c>
      <c r="F30" s="341">
        <f t="shared" si="3"/>
        <v>110</v>
      </c>
      <c r="G30" s="106" t="s">
        <v>8</v>
      </c>
      <c r="H30" s="233">
        <v>91.22</v>
      </c>
      <c r="I30" s="320"/>
      <c r="J30" s="320"/>
      <c r="K30" s="266"/>
      <c r="L30" s="244"/>
      <c r="M30" s="244">
        <f t="shared" si="0"/>
        <v>82.097999999999999</v>
      </c>
      <c r="N30" s="244">
        <f t="shared" si="4"/>
        <v>108.02368421052631</v>
      </c>
      <c r="O30" s="244">
        <f t="shared" si="5"/>
        <v>73.888199999999998</v>
      </c>
      <c r="P30" s="244">
        <f t="shared" si="6"/>
        <v>73.888199999999998</v>
      </c>
      <c r="R30" s="244">
        <f t="shared" si="7"/>
        <v>102.62249999999999</v>
      </c>
      <c r="S30" s="244">
        <f t="shared" si="24"/>
        <v>77.993099999999998</v>
      </c>
      <c r="T30" s="244">
        <f t="shared" si="8"/>
        <v>70.193790000000007</v>
      </c>
      <c r="U30" s="244">
        <f t="shared" si="2"/>
        <v>70.193790000000007</v>
      </c>
      <c r="V30" s="229">
        <v>63</v>
      </c>
      <c r="W30" s="244">
        <v>65</v>
      </c>
      <c r="X30" s="244">
        <f t="shared" si="9"/>
        <v>74.75</v>
      </c>
      <c r="Y30" s="309">
        <v>89.1</v>
      </c>
      <c r="Z30" s="244">
        <f t="shared" si="10"/>
        <v>-14.349999999999994</v>
      </c>
      <c r="AA30" s="244">
        <f t="shared" si="11"/>
        <v>19.197324414715723</v>
      </c>
      <c r="AB30" s="244">
        <f t="shared" si="12"/>
        <v>98.35526315789474</v>
      </c>
      <c r="AC30" s="229">
        <v>117.24</v>
      </c>
      <c r="AD30" s="317">
        <f t="shared" si="13"/>
        <v>99.653999999999996</v>
      </c>
      <c r="AE30" s="244">
        <f t="shared" si="14"/>
        <v>75.737039999999993</v>
      </c>
      <c r="AF30" s="244">
        <f t="shared" si="15"/>
        <v>68.163336000000001</v>
      </c>
      <c r="AG30" s="244"/>
      <c r="AH30" s="244"/>
      <c r="AI30" s="244">
        <v>35</v>
      </c>
      <c r="AJ30" s="244">
        <v>35</v>
      </c>
      <c r="AK30" s="244">
        <f t="shared" si="16"/>
        <v>33.163336000000001</v>
      </c>
      <c r="AL30" s="432"/>
      <c r="AM30" s="432"/>
      <c r="AN30" s="429">
        <v>60</v>
      </c>
      <c r="AO30" s="232">
        <v>60</v>
      </c>
      <c r="AP30" s="244"/>
      <c r="AQ30" s="244">
        <f t="shared" si="17"/>
        <v>86.399999999999991</v>
      </c>
      <c r="AR30" s="244"/>
      <c r="AS30" s="244">
        <f t="shared" si="18"/>
        <v>65.663999999999987</v>
      </c>
      <c r="AU30" s="350">
        <v>60</v>
      </c>
      <c r="AV30" s="244">
        <f t="shared" si="19"/>
        <v>110</v>
      </c>
      <c r="AW30" s="457">
        <f t="shared" si="20"/>
        <v>66</v>
      </c>
      <c r="AX30" s="244">
        <f t="shared" si="21"/>
        <v>71.5</v>
      </c>
      <c r="AY30" s="458">
        <f t="shared" si="22"/>
        <v>83.6</v>
      </c>
      <c r="BA30" s="458">
        <f t="shared" si="23"/>
        <v>-17.599999999999994</v>
      </c>
    </row>
    <row r="31" spans="1:53" ht="18" customHeight="1" thickBot="1">
      <c r="A31" s="725" t="s">
        <v>207</v>
      </c>
      <c r="B31" s="726"/>
      <c r="C31" s="101">
        <v>125</v>
      </c>
      <c r="D31" s="102" t="s">
        <v>23</v>
      </c>
      <c r="E31" s="102" t="s">
        <v>89</v>
      </c>
      <c r="F31" s="307">
        <f t="shared" si="3"/>
        <v>78.283333333333346</v>
      </c>
      <c r="G31" s="103" t="s">
        <v>8</v>
      </c>
      <c r="H31" s="233">
        <v>65.02</v>
      </c>
      <c r="I31" s="320">
        <v>38.65</v>
      </c>
      <c r="J31" s="320"/>
      <c r="K31" s="266"/>
      <c r="L31" s="244"/>
      <c r="M31" s="244">
        <f t="shared" si="0"/>
        <v>58.518000000000001</v>
      </c>
      <c r="N31" s="244">
        <f t="shared" si="4"/>
        <v>76.997368421052627</v>
      </c>
      <c r="O31" s="244">
        <f t="shared" si="5"/>
        <v>52.666200000000003</v>
      </c>
      <c r="P31" s="244">
        <f t="shared" si="6"/>
        <v>52.666200000000003</v>
      </c>
      <c r="R31" s="244">
        <v>78.95</v>
      </c>
      <c r="S31" s="244">
        <f t="shared" si="24"/>
        <v>60.002000000000002</v>
      </c>
      <c r="T31" s="244">
        <f t="shared" si="8"/>
        <v>54.001800000000003</v>
      </c>
      <c r="U31" s="244">
        <f t="shared" si="2"/>
        <v>54.001800000000003</v>
      </c>
      <c r="V31" s="229">
        <v>54</v>
      </c>
      <c r="W31" s="244">
        <v>56</v>
      </c>
      <c r="X31" s="244">
        <f t="shared" si="9"/>
        <v>64.399999999999991</v>
      </c>
      <c r="Y31" s="309">
        <v>63.5</v>
      </c>
      <c r="Z31" s="244">
        <f t="shared" si="10"/>
        <v>0.89999999999999147</v>
      </c>
      <c r="AA31" s="244">
        <f t="shared" si="11"/>
        <v>-1.3975155279503042</v>
      </c>
      <c r="AB31" s="244">
        <f t="shared" si="12"/>
        <v>84.73684210526315</v>
      </c>
      <c r="AC31" s="229">
        <v>83.56</v>
      </c>
      <c r="AD31" s="317">
        <f t="shared" si="13"/>
        <v>71.025999999999996</v>
      </c>
      <c r="AE31" s="244">
        <f t="shared" si="14"/>
        <v>53.979759999999999</v>
      </c>
      <c r="AF31" s="244">
        <f t="shared" si="15"/>
        <v>48.581783999999999</v>
      </c>
      <c r="AG31" s="244">
        <v>38.65</v>
      </c>
      <c r="AH31" s="244">
        <v>53.83</v>
      </c>
      <c r="AI31" s="244"/>
      <c r="AJ31" s="244">
        <v>53.83</v>
      </c>
      <c r="AK31" s="319">
        <f t="shared" si="16"/>
        <v>-5.2482159999999993</v>
      </c>
      <c r="AL31" s="432">
        <v>43</v>
      </c>
      <c r="AM31" s="432">
        <v>43.29</v>
      </c>
      <c r="AN31"/>
      <c r="AO31" s="232">
        <v>47</v>
      </c>
      <c r="AP31" s="244"/>
      <c r="AQ31" s="244">
        <f t="shared" si="17"/>
        <v>67.679999999999993</v>
      </c>
      <c r="AR31" s="244"/>
      <c r="AS31" s="244">
        <f t="shared" si="18"/>
        <v>51.436799999999998</v>
      </c>
      <c r="AU31" s="281">
        <v>42.7</v>
      </c>
      <c r="AV31" s="244">
        <f t="shared" si="19"/>
        <v>78.283333333333346</v>
      </c>
      <c r="AW31" s="457">
        <f t="shared" si="20"/>
        <v>46.970000000000006</v>
      </c>
      <c r="AX31" s="244">
        <f t="shared" si="21"/>
        <v>50.88416666666668</v>
      </c>
      <c r="AY31" s="458">
        <f t="shared" si="22"/>
        <v>59.495333333333342</v>
      </c>
      <c r="BA31" s="458">
        <f t="shared" si="23"/>
        <v>-12.525333333333336</v>
      </c>
    </row>
    <row r="32" spans="1:53" ht="18" customHeight="1" thickBot="1">
      <c r="A32" s="727" t="s">
        <v>208</v>
      </c>
      <c r="B32" s="728"/>
      <c r="C32" s="104">
        <v>125</v>
      </c>
      <c r="D32" s="105" t="s">
        <v>23</v>
      </c>
      <c r="E32" s="105" t="s">
        <v>89</v>
      </c>
      <c r="F32" s="341">
        <f t="shared" si="3"/>
        <v>16.5</v>
      </c>
      <c r="G32" s="106" t="s">
        <v>8</v>
      </c>
      <c r="H32" s="232"/>
      <c r="I32" s="320">
        <v>9</v>
      </c>
      <c r="J32" s="320"/>
      <c r="K32" s="270"/>
      <c r="L32" s="271"/>
      <c r="M32" s="271">
        <f t="shared" si="0"/>
        <v>0</v>
      </c>
      <c r="N32" s="271">
        <f t="shared" si="4"/>
        <v>0</v>
      </c>
      <c r="O32" s="271">
        <f t="shared" si="5"/>
        <v>0</v>
      </c>
      <c r="P32" s="271">
        <f t="shared" si="6"/>
        <v>0</v>
      </c>
      <c r="Q32" s="269"/>
      <c r="R32" s="272">
        <v>13</v>
      </c>
      <c r="S32" s="272">
        <f t="shared" si="24"/>
        <v>9.8800000000000008</v>
      </c>
      <c r="T32" s="272">
        <f t="shared" si="8"/>
        <v>8.8920000000000012</v>
      </c>
      <c r="U32" s="272">
        <f t="shared" si="2"/>
        <v>8.8920000000000012</v>
      </c>
      <c r="V32" s="229">
        <v>9</v>
      </c>
      <c r="W32" s="244">
        <v>11</v>
      </c>
      <c r="X32" s="244">
        <f t="shared" si="9"/>
        <v>12.649999999999999</v>
      </c>
      <c r="Y32" s="309">
        <v>12.65</v>
      </c>
      <c r="Z32" s="244">
        <f t="shared" si="10"/>
        <v>-1.7763568394002505E-15</v>
      </c>
      <c r="AA32" s="244">
        <f t="shared" si="11"/>
        <v>1.4210854715202004E-14</v>
      </c>
      <c r="AB32" s="244">
        <f t="shared" si="12"/>
        <v>16.64473684210526</v>
      </c>
      <c r="AC32" s="321"/>
      <c r="AD32" s="319">
        <v>14</v>
      </c>
      <c r="AE32" s="319">
        <f t="shared" si="14"/>
        <v>10.64</v>
      </c>
      <c r="AF32" s="319">
        <f t="shared" si="15"/>
        <v>9.5760000000000005</v>
      </c>
      <c r="AG32" s="319">
        <v>9</v>
      </c>
      <c r="AH32" s="319">
        <v>9</v>
      </c>
      <c r="AI32" s="319"/>
      <c r="AJ32" s="319">
        <v>9</v>
      </c>
      <c r="AK32" s="319">
        <f t="shared" si="16"/>
        <v>0.57600000000000051</v>
      </c>
      <c r="AL32" s="432">
        <v>9</v>
      </c>
      <c r="AM32" s="432">
        <v>9</v>
      </c>
      <c r="AN32"/>
      <c r="AO32" s="232">
        <v>9</v>
      </c>
      <c r="AP32" s="244"/>
      <c r="AQ32" s="244">
        <f t="shared" si="17"/>
        <v>12.959999999999999</v>
      </c>
      <c r="AR32" s="244"/>
      <c r="AS32" s="244">
        <f t="shared" si="18"/>
        <v>9.8495999999999988</v>
      </c>
      <c r="AU32" s="350">
        <v>9</v>
      </c>
      <c r="AV32" s="244">
        <f t="shared" si="19"/>
        <v>16.5</v>
      </c>
      <c r="AW32" s="457">
        <f t="shared" si="20"/>
        <v>9.9</v>
      </c>
      <c r="AX32" s="244">
        <f t="shared" si="21"/>
        <v>10.725</v>
      </c>
      <c r="AY32" s="458">
        <f t="shared" si="22"/>
        <v>12.540000000000001</v>
      </c>
      <c r="BA32" s="458">
        <f t="shared" si="23"/>
        <v>-2.6400000000000006</v>
      </c>
    </row>
    <row r="33" spans="1:53" ht="18" customHeight="1" thickBot="1">
      <c r="A33" s="725" t="s">
        <v>209</v>
      </c>
      <c r="B33" s="726"/>
      <c r="C33" s="101">
        <v>80</v>
      </c>
      <c r="D33" s="102" t="s">
        <v>23</v>
      </c>
      <c r="E33" s="102" t="s">
        <v>89</v>
      </c>
      <c r="F33" s="307">
        <f t="shared" si="3"/>
        <v>86.166666666666671</v>
      </c>
      <c r="G33" s="103" t="s">
        <v>8</v>
      </c>
      <c r="H33" s="233">
        <v>103.03</v>
      </c>
      <c r="I33" s="320">
        <v>47</v>
      </c>
      <c r="J33" s="320"/>
      <c r="K33" s="266"/>
      <c r="L33" s="244"/>
      <c r="M33" s="244">
        <f t="shared" si="0"/>
        <v>92.727000000000004</v>
      </c>
      <c r="N33" s="244">
        <f t="shared" si="4"/>
        <v>122.0092105263158</v>
      </c>
      <c r="O33" s="244">
        <f t="shared" si="5"/>
        <v>83.454300000000003</v>
      </c>
      <c r="P33" s="244">
        <f t="shared" si="6"/>
        <v>83.454300000000003</v>
      </c>
      <c r="R33" s="244">
        <f t="shared" si="7"/>
        <v>115.90875</v>
      </c>
      <c r="S33" s="244">
        <f t="shared" si="24"/>
        <v>88.090649999999997</v>
      </c>
      <c r="T33" s="244">
        <f t="shared" si="8"/>
        <v>79.281584999999993</v>
      </c>
      <c r="U33" s="244">
        <f t="shared" si="2"/>
        <v>79.281584999999993</v>
      </c>
      <c r="V33" s="229">
        <v>47</v>
      </c>
      <c r="W33" s="244">
        <v>49</v>
      </c>
      <c r="X33" s="244">
        <f t="shared" si="9"/>
        <v>56.349999999999994</v>
      </c>
      <c r="Y33" s="309">
        <v>100.64</v>
      </c>
      <c r="Z33" s="244">
        <f t="shared" si="10"/>
        <v>-44.290000000000006</v>
      </c>
      <c r="AA33" s="244">
        <f t="shared" si="11"/>
        <v>78.598047914818125</v>
      </c>
      <c r="AB33" s="244">
        <f t="shared" si="12"/>
        <v>74.144736842105246</v>
      </c>
      <c r="AC33" s="229">
        <v>132.41999999999999</v>
      </c>
      <c r="AD33" s="317">
        <f t="shared" si="13"/>
        <v>112.55699999999999</v>
      </c>
      <c r="AE33" s="244">
        <f t="shared" si="14"/>
        <v>85.543319999999994</v>
      </c>
      <c r="AF33" s="244">
        <f t="shared" si="15"/>
        <v>76.988987999999992</v>
      </c>
      <c r="AG33" s="244">
        <v>47</v>
      </c>
      <c r="AH33" s="244">
        <v>47</v>
      </c>
      <c r="AI33" s="244"/>
      <c r="AJ33" s="244">
        <v>47</v>
      </c>
      <c r="AK33" s="244">
        <f t="shared" si="16"/>
        <v>29.988987999999992</v>
      </c>
      <c r="AL33" s="432">
        <v>47</v>
      </c>
      <c r="AM33" s="432">
        <v>47</v>
      </c>
      <c r="AN33"/>
      <c r="AO33" s="232">
        <v>47</v>
      </c>
      <c r="AP33" s="244"/>
      <c r="AQ33" s="244">
        <f t="shared" si="17"/>
        <v>67.679999999999993</v>
      </c>
      <c r="AR33" s="244"/>
      <c r="AS33" s="244">
        <f t="shared" si="18"/>
        <v>51.436799999999998</v>
      </c>
      <c r="AU33" s="350">
        <v>47</v>
      </c>
      <c r="AV33" s="244">
        <f t="shared" si="19"/>
        <v>86.166666666666671</v>
      </c>
      <c r="AW33" s="457">
        <f t="shared" si="20"/>
        <v>51.7</v>
      </c>
      <c r="AX33" s="244">
        <f t="shared" si="21"/>
        <v>56.00833333333334</v>
      </c>
      <c r="AY33" s="458">
        <f t="shared" si="22"/>
        <v>65.486666666666665</v>
      </c>
      <c r="BA33" s="458">
        <f t="shared" si="23"/>
        <v>-13.786666666666662</v>
      </c>
    </row>
    <row r="34" spans="1:53" ht="18" customHeight="1" thickBot="1">
      <c r="A34" s="727" t="s">
        <v>210</v>
      </c>
      <c r="B34" s="728"/>
      <c r="C34" s="104">
        <v>80</v>
      </c>
      <c r="D34" s="105">
        <v>2800</v>
      </c>
      <c r="E34" s="105" t="s">
        <v>89</v>
      </c>
      <c r="F34" s="341">
        <f t="shared" si="3"/>
        <v>86.166666666666671</v>
      </c>
      <c r="G34" s="106" t="s">
        <v>8</v>
      </c>
      <c r="H34" s="233">
        <v>103.03</v>
      </c>
      <c r="I34" s="320">
        <v>47</v>
      </c>
      <c r="J34" s="320"/>
      <c r="K34" s="266"/>
      <c r="L34" s="244"/>
      <c r="M34" s="244">
        <f t="shared" si="0"/>
        <v>92.727000000000004</v>
      </c>
      <c r="N34" s="244">
        <f t="shared" si="4"/>
        <v>122.0092105263158</v>
      </c>
      <c r="O34" s="244">
        <f t="shared" si="5"/>
        <v>83.454300000000003</v>
      </c>
      <c r="P34" s="244">
        <f t="shared" si="6"/>
        <v>83.454300000000003</v>
      </c>
      <c r="R34" s="244">
        <f t="shared" si="7"/>
        <v>115.90875</v>
      </c>
      <c r="S34" s="244">
        <f t="shared" si="24"/>
        <v>88.090649999999997</v>
      </c>
      <c r="T34" s="244">
        <f t="shared" si="8"/>
        <v>79.281584999999993</v>
      </c>
      <c r="U34" s="244">
        <f t="shared" si="2"/>
        <v>79.281584999999993</v>
      </c>
      <c r="V34" s="229">
        <v>47</v>
      </c>
      <c r="W34" s="244">
        <v>49</v>
      </c>
      <c r="X34" s="244">
        <f t="shared" si="9"/>
        <v>56.349999999999994</v>
      </c>
      <c r="Y34" s="309">
        <v>100.64</v>
      </c>
      <c r="Z34" s="244">
        <f t="shared" si="10"/>
        <v>-44.290000000000006</v>
      </c>
      <c r="AA34" s="244">
        <f t="shared" si="11"/>
        <v>78.598047914818125</v>
      </c>
      <c r="AB34" s="244">
        <f t="shared" si="12"/>
        <v>74.144736842105246</v>
      </c>
      <c r="AC34" s="229">
        <v>132.41999999999999</v>
      </c>
      <c r="AD34" s="317">
        <f t="shared" si="13"/>
        <v>112.55699999999999</v>
      </c>
      <c r="AE34" s="244">
        <f t="shared" si="14"/>
        <v>85.543319999999994</v>
      </c>
      <c r="AF34" s="244">
        <f t="shared" si="15"/>
        <v>76.988987999999992</v>
      </c>
      <c r="AG34" s="244">
        <v>47</v>
      </c>
      <c r="AH34" s="244">
        <v>47</v>
      </c>
      <c r="AI34" s="244"/>
      <c r="AJ34" s="244">
        <v>47</v>
      </c>
      <c r="AK34" s="244">
        <f t="shared" si="16"/>
        <v>29.988987999999992</v>
      </c>
      <c r="AL34" s="432">
        <v>47</v>
      </c>
      <c r="AM34" s="432">
        <v>47</v>
      </c>
      <c r="AN34"/>
      <c r="AO34" s="232">
        <v>47</v>
      </c>
      <c r="AP34" s="244"/>
      <c r="AQ34" s="244">
        <f t="shared" si="17"/>
        <v>67.679999999999993</v>
      </c>
      <c r="AR34" s="244"/>
      <c r="AS34" s="244">
        <f t="shared" si="18"/>
        <v>51.436799999999998</v>
      </c>
      <c r="AU34" s="350">
        <v>47</v>
      </c>
      <c r="AV34" s="244">
        <f t="shared" si="19"/>
        <v>86.166666666666671</v>
      </c>
      <c r="AW34" s="457">
        <f t="shared" si="20"/>
        <v>51.7</v>
      </c>
      <c r="AX34" s="244">
        <f t="shared" si="21"/>
        <v>56.00833333333334</v>
      </c>
      <c r="AY34" s="458">
        <f t="shared" si="22"/>
        <v>65.486666666666665</v>
      </c>
      <c r="BA34" s="458">
        <f t="shared" si="23"/>
        <v>-13.786666666666662</v>
      </c>
    </row>
    <row r="35" spans="1:53" ht="18" customHeight="1" thickBot="1">
      <c r="A35" s="725" t="s">
        <v>624</v>
      </c>
      <c r="B35" s="726"/>
      <c r="C35" s="101">
        <v>80</v>
      </c>
      <c r="D35" s="102">
        <v>3000</v>
      </c>
      <c r="E35" s="102" t="s">
        <v>89</v>
      </c>
      <c r="F35" s="307">
        <f t="shared" si="3"/>
        <v>260.33333333333337</v>
      </c>
      <c r="G35" s="103" t="s">
        <v>8</v>
      </c>
      <c r="H35" s="231">
        <v>241.49</v>
      </c>
      <c r="I35" s="315"/>
      <c r="J35" s="315"/>
      <c r="K35" s="266"/>
      <c r="L35" s="244"/>
      <c r="M35" s="244">
        <f t="shared" si="0"/>
        <v>217.34100000000001</v>
      </c>
      <c r="N35" s="244">
        <f t="shared" si="4"/>
        <v>285.97500000000002</v>
      </c>
      <c r="O35" s="244">
        <f t="shared" si="5"/>
        <v>195.60690000000002</v>
      </c>
      <c r="P35" s="244">
        <f t="shared" si="6"/>
        <v>195.60690000000002</v>
      </c>
      <c r="R35" s="244">
        <f t="shared" si="7"/>
        <v>271.67624999999998</v>
      </c>
      <c r="S35" s="244">
        <f t="shared" si="24"/>
        <v>206.47395</v>
      </c>
      <c r="T35" s="244">
        <f t="shared" si="8"/>
        <v>185.82655500000001</v>
      </c>
      <c r="U35" s="244">
        <f t="shared" si="2"/>
        <v>185.82655500000001</v>
      </c>
      <c r="V35" s="305">
        <v>150</v>
      </c>
      <c r="W35" s="244">
        <v>150</v>
      </c>
      <c r="X35" s="244">
        <f t="shared" si="9"/>
        <v>172.5</v>
      </c>
      <c r="Y35" s="309">
        <v>235.82</v>
      </c>
      <c r="Z35" s="244">
        <f t="shared" si="10"/>
        <v>-63.319999999999993</v>
      </c>
      <c r="AA35" s="244">
        <f t="shared" si="11"/>
        <v>36.707246376811582</v>
      </c>
      <c r="AB35" s="244">
        <f t="shared" si="12"/>
        <v>226.9736842105263</v>
      </c>
      <c r="AC35" s="229">
        <v>310.29000000000002</v>
      </c>
      <c r="AD35" s="317">
        <f t="shared" si="13"/>
        <v>263.74650000000003</v>
      </c>
      <c r="AE35" s="244">
        <f t="shared" si="14"/>
        <v>200.44734000000003</v>
      </c>
      <c r="AF35" s="244">
        <f t="shared" si="15"/>
        <v>180.40260600000002</v>
      </c>
      <c r="AG35" s="244"/>
      <c r="AH35" s="244"/>
      <c r="AI35" s="244">
        <v>135</v>
      </c>
      <c r="AJ35" s="244">
        <v>135</v>
      </c>
      <c r="AK35" s="244">
        <f t="shared" si="16"/>
        <v>45.40260600000002</v>
      </c>
      <c r="AL35" s="432"/>
      <c r="AM35" s="432"/>
      <c r="AN35" s="429">
        <v>142</v>
      </c>
      <c r="AO35" s="434">
        <v>150</v>
      </c>
      <c r="AP35" s="244"/>
      <c r="AQ35" s="244">
        <f t="shared" si="17"/>
        <v>216</v>
      </c>
      <c r="AR35" s="244"/>
      <c r="AS35" s="244">
        <f t="shared" si="18"/>
        <v>164.16</v>
      </c>
      <c r="AU35" s="350">
        <v>142</v>
      </c>
      <c r="AV35" s="244">
        <f t="shared" si="19"/>
        <v>260.33333333333337</v>
      </c>
      <c r="AW35" s="457">
        <f t="shared" si="20"/>
        <v>156.20000000000002</v>
      </c>
      <c r="AX35" s="244">
        <f t="shared" si="21"/>
        <v>169.2166666666667</v>
      </c>
      <c r="AY35" s="458">
        <f t="shared" si="22"/>
        <v>197.85333333333335</v>
      </c>
      <c r="BA35" s="458">
        <f t="shared" si="23"/>
        <v>-41.653333333333336</v>
      </c>
    </row>
    <row r="36" spans="1:53" ht="18" customHeight="1" thickBot="1">
      <c r="A36" s="727" t="s">
        <v>625</v>
      </c>
      <c r="B36" s="728"/>
      <c r="C36" s="104">
        <v>80</v>
      </c>
      <c r="D36" s="105">
        <v>4000</v>
      </c>
      <c r="E36" s="105" t="s">
        <v>89</v>
      </c>
      <c r="F36" s="341">
        <f t="shared" si="3"/>
        <v>348.33333333333337</v>
      </c>
      <c r="G36" s="106" t="s">
        <v>8</v>
      </c>
      <c r="H36" s="231">
        <v>321.99</v>
      </c>
      <c r="I36" s="315"/>
      <c r="J36" s="315"/>
      <c r="K36" s="266"/>
      <c r="L36" s="244"/>
      <c r="M36" s="244">
        <f t="shared" si="0"/>
        <v>289.791</v>
      </c>
      <c r="N36" s="244">
        <f t="shared" si="4"/>
        <v>381.30394736842101</v>
      </c>
      <c r="O36" s="244">
        <f t="shared" si="5"/>
        <v>260.81189999999998</v>
      </c>
      <c r="P36" s="244">
        <f t="shared" si="6"/>
        <v>260.81189999999998</v>
      </c>
      <c r="R36" s="244">
        <f t="shared" si="7"/>
        <v>362.23874999999992</v>
      </c>
      <c r="S36" s="244">
        <f t="shared" si="24"/>
        <v>275.30144999999993</v>
      </c>
      <c r="T36" s="244">
        <f t="shared" si="8"/>
        <v>247.77130499999996</v>
      </c>
      <c r="U36" s="244">
        <f t="shared" si="2"/>
        <v>247.77130499999996</v>
      </c>
      <c r="V36" s="305">
        <v>200</v>
      </c>
      <c r="W36" s="244">
        <v>200</v>
      </c>
      <c r="X36" s="244">
        <f t="shared" si="9"/>
        <v>229.99999999999997</v>
      </c>
      <c r="Y36" s="309">
        <v>314.42</v>
      </c>
      <c r="Z36" s="244">
        <f t="shared" si="10"/>
        <v>-84.420000000000044</v>
      </c>
      <c r="AA36" s="244">
        <f t="shared" si="11"/>
        <v>36.704347826086973</v>
      </c>
      <c r="AB36" s="244">
        <f t="shared" si="12"/>
        <v>302.63157894736838</v>
      </c>
      <c r="AC36" s="229">
        <v>413.72</v>
      </c>
      <c r="AD36" s="317">
        <f t="shared" si="13"/>
        <v>351.66200000000003</v>
      </c>
      <c r="AE36" s="244">
        <f t="shared" si="14"/>
        <v>267.26312000000001</v>
      </c>
      <c r="AF36" s="244">
        <f t="shared" si="15"/>
        <v>240.53680800000001</v>
      </c>
      <c r="AG36" s="244"/>
      <c r="AH36" s="244"/>
      <c r="AI36" s="244">
        <v>180</v>
      </c>
      <c r="AJ36" s="244">
        <v>180</v>
      </c>
      <c r="AK36" s="244">
        <f t="shared" si="16"/>
        <v>60.536808000000008</v>
      </c>
      <c r="AL36" s="432"/>
      <c r="AM36" s="432"/>
      <c r="AN36" s="429">
        <v>190</v>
      </c>
      <c r="AO36" s="232">
        <v>190</v>
      </c>
      <c r="AP36" s="244"/>
      <c r="AQ36" s="244">
        <f t="shared" si="17"/>
        <v>273.59999999999997</v>
      </c>
      <c r="AR36" s="244"/>
      <c r="AS36" s="244">
        <f t="shared" si="18"/>
        <v>207.93599999999998</v>
      </c>
      <c r="AU36" s="350">
        <v>190</v>
      </c>
      <c r="AV36" s="244">
        <f t="shared" si="19"/>
        <v>348.33333333333337</v>
      </c>
      <c r="AW36" s="457">
        <f t="shared" si="20"/>
        <v>209.00000000000003</v>
      </c>
      <c r="AX36" s="244">
        <f t="shared" si="21"/>
        <v>226.41666666666669</v>
      </c>
      <c r="AY36" s="458">
        <f t="shared" si="22"/>
        <v>264.73333333333335</v>
      </c>
      <c r="BA36" s="458">
        <f t="shared" si="23"/>
        <v>-55.73333333333332</v>
      </c>
    </row>
    <row r="37" spans="1:53" ht="18" customHeight="1" thickBot="1">
      <c r="A37" s="725" t="s">
        <v>211</v>
      </c>
      <c r="B37" s="726"/>
      <c r="C37" s="101">
        <v>80</v>
      </c>
      <c r="D37" s="102">
        <v>4000</v>
      </c>
      <c r="E37" s="102" t="s">
        <v>89</v>
      </c>
      <c r="F37" s="307">
        <f t="shared" si="3"/>
        <v>259.60000000000002</v>
      </c>
      <c r="G37" s="103" t="s">
        <v>8</v>
      </c>
      <c r="H37" s="231">
        <v>172.8</v>
      </c>
      <c r="I37" s="315">
        <v>80</v>
      </c>
      <c r="J37" s="315"/>
      <c r="K37" s="266"/>
      <c r="L37" s="244"/>
      <c r="M37" s="244">
        <f t="shared" si="0"/>
        <v>155.52000000000001</v>
      </c>
      <c r="N37" s="244">
        <f t="shared" si="4"/>
        <v>204.63157894736844</v>
      </c>
      <c r="O37" s="244">
        <f t="shared" si="5"/>
        <v>139.96800000000002</v>
      </c>
      <c r="P37" s="244">
        <f t="shared" si="6"/>
        <v>139.96800000000002</v>
      </c>
      <c r="R37" s="244">
        <f t="shared" si="7"/>
        <v>194.4</v>
      </c>
      <c r="S37" s="244">
        <f t="shared" si="24"/>
        <v>147.744</v>
      </c>
      <c r="T37" s="244">
        <f t="shared" si="8"/>
        <v>132.96960000000001</v>
      </c>
      <c r="U37" s="244">
        <f t="shared" si="2"/>
        <v>132.96960000000001</v>
      </c>
      <c r="V37" s="305">
        <v>126</v>
      </c>
      <c r="W37" s="244">
        <v>126</v>
      </c>
      <c r="X37" s="244">
        <f t="shared" si="9"/>
        <v>144.89999999999998</v>
      </c>
      <c r="Y37" s="309">
        <v>168.8</v>
      </c>
      <c r="Z37" s="244">
        <f t="shared" si="10"/>
        <v>-23.900000000000034</v>
      </c>
      <c r="AA37" s="244">
        <f t="shared" si="11"/>
        <v>16.494133885438245</v>
      </c>
      <c r="AB37" s="244">
        <f t="shared" si="12"/>
        <v>190.65789473684205</v>
      </c>
      <c r="AC37" s="229">
        <v>207.3</v>
      </c>
      <c r="AD37" s="317">
        <f t="shared" si="13"/>
        <v>176.20500000000001</v>
      </c>
      <c r="AE37" s="244">
        <f t="shared" si="14"/>
        <v>133.91580000000002</v>
      </c>
      <c r="AF37" s="244">
        <f t="shared" si="15"/>
        <v>120.52422000000001</v>
      </c>
      <c r="AG37" s="244">
        <v>85</v>
      </c>
      <c r="AH37" s="244">
        <v>92.83</v>
      </c>
      <c r="AI37" s="244"/>
      <c r="AJ37" s="244">
        <v>92.83</v>
      </c>
      <c r="AK37" s="244">
        <f t="shared" si="16"/>
        <v>27.694220000000016</v>
      </c>
      <c r="AL37" s="433">
        <v>146.75</v>
      </c>
      <c r="AM37" s="432">
        <v>105.96</v>
      </c>
      <c r="AN37"/>
      <c r="AO37" s="434">
        <v>147</v>
      </c>
      <c r="AP37" s="244"/>
      <c r="AQ37" s="244">
        <f t="shared" si="17"/>
        <v>211.67999999999998</v>
      </c>
      <c r="AR37" s="244"/>
      <c r="AS37" s="244">
        <f t="shared" si="18"/>
        <v>160.87679999999997</v>
      </c>
      <c r="AU37" s="281">
        <v>141.6</v>
      </c>
      <c r="AV37" s="244">
        <f t="shared" si="19"/>
        <v>259.60000000000002</v>
      </c>
      <c r="AW37" s="457">
        <f t="shared" si="20"/>
        <v>155.76000000000002</v>
      </c>
      <c r="AX37" s="244">
        <f t="shared" si="21"/>
        <v>168.74</v>
      </c>
      <c r="AY37" s="458">
        <f t="shared" si="22"/>
        <v>197.29600000000002</v>
      </c>
      <c r="BA37" s="458">
        <f t="shared" si="23"/>
        <v>-41.536000000000001</v>
      </c>
    </row>
    <row r="38" spans="1:53" ht="18" customHeight="1" thickBot="1">
      <c r="A38" s="727" t="s">
        <v>212</v>
      </c>
      <c r="B38" s="728"/>
      <c r="C38" s="104">
        <v>125</v>
      </c>
      <c r="D38" s="105" t="s">
        <v>23</v>
      </c>
      <c r="E38" s="105" t="s">
        <v>89</v>
      </c>
      <c r="F38" s="341">
        <f t="shared" si="3"/>
        <v>330.00000000000006</v>
      </c>
      <c r="G38" s="106" t="s">
        <v>8</v>
      </c>
      <c r="H38" s="231">
        <v>230.4</v>
      </c>
      <c r="I38" s="315">
        <v>250.02</v>
      </c>
      <c r="J38" s="315"/>
      <c r="K38" s="266"/>
      <c r="L38" s="244"/>
      <c r="M38" s="244">
        <f t="shared" si="0"/>
        <v>207.36</v>
      </c>
      <c r="N38" s="244">
        <f t="shared" si="4"/>
        <v>272.84210526315792</v>
      </c>
      <c r="O38" s="244">
        <f t="shared" si="5"/>
        <v>186.62400000000002</v>
      </c>
      <c r="P38" s="244">
        <f t="shared" si="6"/>
        <v>186.62400000000002</v>
      </c>
      <c r="R38" s="244">
        <v>362.24</v>
      </c>
      <c r="S38" s="244">
        <f t="shared" si="24"/>
        <v>275.30240000000003</v>
      </c>
      <c r="T38" s="244">
        <v>250</v>
      </c>
      <c r="U38" s="244">
        <f t="shared" si="2"/>
        <v>250</v>
      </c>
      <c r="V38" s="305">
        <v>181</v>
      </c>
      <c r="W38" s="244">
        <v>181</v>
      </c>
      <c r="X38" s="244">
        <f t="shared" si="9"/>
        <v>208.14999999999998</v>
      </c>
      <c r="Y38" s="309">
        <v>225.07</v>
      </c>
      <c r="Z38" s="244">
        <f t="shared" si="10"/>
        <v>-16.920000000000016</v>
      </c>
      <c r="AA38" s="244">
        <f t="shared" si="11"/>
        <v>8.1287533029065742</v>
      </c>
      <c r="AB38" s="244">
        <f t="shared" si="12"/>
        <v>273.88157894736838</v>
      </c>
      <c r="AC38" s="229">
        <v>296.14</v>
      </c>
      <c r="AD38" s="317">
        <f t="shared" si="13"/>
        <v>251.71899999999999</v>
      </c>
      <c r="AE38" s="244">
        <f t="shared" si="14"/>
        <v>191.30644000000001</v>
      </c>
      <c r="AF38" s="244">
        <f t="shared" si="15"/>
        <v>172.17579600000002</v>
      </c>
      <c r="AG38" s="244">
        <v>250.02</v>
      </c>
      <c r="AH38" s="244">
        <v>128.66</v>
      </c>
      <c r="AI38" s="244"/>
      <c r="AJ38" s="244">
        <v>250.02</v>
      </c>
      <c r="AK38" s="319">
        <f t="shared" si="16"/>
        <v>-77.844203999999991</v>
      </c>
      <c r="AL38" s="433">
        <v>190.03</v>
      </c>
      <c r="AM38" s="432">
        <v>144.83000000000001</v>
      </c>
      <c r="AN38"/>
      <c r="AO38" s="434">
        <v>190.1</v>
      </c>
      <c r="AP38" s="244"/>
      <c r="AQ38" s="244">
        <f t="shared" si="17"/>
        <v>273.74399999999997</v>
      </c>
      <c r="AR38" s="244"/>
      <c r="AS38" s="244">
        <f t="shared" si="18"/>
        <v>208.04543999999999</v>
      </c>
      <c r="AU38" s="350">
        <v>180</v>
      </c>
      <c r="AV38" s="244">
        <f t="shared" si="19"/>
        <v>330.00000000000006</v>
      </c>
      <c r="AW38" s="457">
        <f t="shared" si="20"/>
        <v>198.00000000000003</v>
      </c>
      <c r="AX38" s="244">
        <f t="shared" si="21"/>
        <v>214.50000000000006</v>
      </c>
      <c r="AY38" s="458">
        <f t="shared" si="22"/>
        <v>250.80000000000004</v>
      </c>
      <c r="BA38" s="458">
        <f t="shared" si="23"/>
        <v>-52.800000000000011</v>
      </c>
    </row>
    <row r="39" spans="1:53" ht="18" customHeight="1" thickBot="1">
      <c r="A39" s="725" t="s">
        <v>213</v>
      </c>
      <c r="B39" s="726"/>
      <c r="C39" s="101">
        <v>125</v>
      </c>
      <c r="D39" s="102" t="s">
        <v>23</v>
      </c>
      <c r="E39" s="102" t="s">
        <v>89</v>
      </c>
      <c r="F39" s="307">
        <f t="shared" si="3"/>
        <v>271.37000000000006</v>
      </c>
      <c r="G39" s="103" t="s">
        <v>8</v>
      </c>
      <c r="H39" s="233">
        <v>78.41</v>
      </c>
      <c r="I39" s="320"/>
      <c r="J39" s="320"/>
      <c r="K39" s="266"/>
      <c r="L39" s="244"/>
      <c r="M39" s="244">
        <f t="shared" si="0"/>
        <v>70.569000000000003</v>
      </c>
      <c r="N39" s="244">
        <f t="shared" si="4"/>
        <v>92.853947368421061</v>
      </c>
      <c r="O39" s="244">
        <f t="shared" si="5"/>
        <v>63.512100000000004</v>
      </c>
      <c r="P39" s="244">
        <f t="shared" si="6"/>
        <v>63.512100000000004</v>
      </c>
      <c r="R39" s="244">
        <v>131.58000000000001</v>
      </c>
      <c r="S39" s="244">
        <f t="shared" si="24"/>
        <v>100.00080000000001</v>
      </c>
      <c r="T39" s="244">
        <f t="shared" si="8"/>
        <v>90.000720000000015</v>
      </c>
      <c r="U39" s="244">
        <f t="shared" si="2"/>
        <v>90.000720000000015</v>
      </c>
      <c r="V39" s="229">
        <v>90</v>
      </c>
      <c r="W39" s="244">
        <v>92</v>
      </c>
      <c r="X39" s="244">
        <f t="shared" si="9"/>
        <v>105.8</v>
      </c>
      <c r="Y39" s="309">
        <v>179.31</v>
      </c>
      <c r="Z39" s="244">
        <f t="shared" si="10"/>
        <v>-73.510000000000005</v>
      </c>
      <c r="AA39" s="244">
        <f t="shared" si="11"/>
        <v>69.480151228733462</v>
      </c>
      <c r="AB39" s="244">
        <f t="shared" si="12"/>
        <v>139.21052631578948</v>
      </c>
      <c r="AC39" s="229">
        <v>235.94</v>
      </c>
      <c r="AD39" s="317">
        <f t="shared" si="13"/>
        <v>200.54900000000001</v>
      </c>
      <c r="AE39" s="244">
        <f t="shared" si="14"/>
        <v>152.41724000000002</v>
      </c>
      <c r="AF39" s="244">
        <f t="shared" si="15"/>
        <v>137.17551600000002</v>
      </c>
      <c r="AG39" s="244">
        <v>90</v>
      </c>
      <c r="AH39" s="244">
        <v>90</v>
      </c>
      <c r="AI39" s="244"/>
      <c r="AJ39" s="244">
        <v>90</v>
      </c>
      <c r="AK39" s="244">
        <f t="shared" si="16"/>
        <v>47.175516000000016</v>
      </c>
      <c r="AL39" s="433">
        <v>128.11000000000001</v>
      </c>
      <c r="AM39" s="433">
        <v>148.02000000000001</v>
      </c>
      <c r="AN39"/>
      <c r="AO39" s="434">
        <v>149</v>
      </c>
      <c r="AP39" s="244"/>
      <c r="AQ39" s="244">
        <f t="shared" si="17"/>
        <v>214.56</v>
      </c>
      <c r="AR39" s="244"/>
      <c r="AS39" s="244">
        <f t="shared" si="18"/>
        <v>163.06560000000002</v>
      </c>
      <c r="AU39" s="350">
        <v>148.02000000000001</v>
      </c>
      <c r="AV39" s="244">
        <f t="shared" si="19"/>
        <v>271.37000000000006</v>
      </c>
      <c r="AW39" s="457">
        <f t="shared" si="20"/>
        <v>162.82200000000003</v>
      </c>
      <c r="AX39" s="244">
        <f t="shared" si="21"/>
        <v>176.39050000000006</v>
      </c>
      <c r="AY39" s="458">
        <f t="shared" si="22"/>
        <v>206.24120000000005</v>
      </c>
      <c r="BA39" s="458">
        <f t="shared" si="23"/>
        <v>-43.419200000000018</v>
      </c>
    </row>
    <row r="40" spans="1:53" ht="18" customHeight="1" thickBot="1">
      <c r="A40" s="727" t="s">
        <v>214</v>
      </c>
      <c r="B40" s="728"/>
      <c r="C40" s="104">
        <v>125</v>
      </c>
      <c r="D40" s="105" t="s">
        <v>23</v>
      </c>
      <c r="E40" s="105" t="s">
        <v>89</v>
      </c>
      <c r="F40" s="341">
        <f t="shared" si="3"/>
        <v>209</v>
      </c>
      <c r="G40" s="106" t="s">
        <v>8</v>
      </c>
      <c r="H40" s="233">
        <v>78.41</v>
      </c>
      <c r="I40" s="320"/>
      <c r="J40" s="320"/>
      <c r="K40" s="266"/>
      <c r="L40" s="244"/>
      <c r="M40" s="244">
        <f t="shared" si="0"/>
        <v>70.569000000000003</v>
      </c>
      <c r="N40" s="244">
        <f t="shared" si="4"/>
        <v>92.853947368421061</v>
      </c>
      <c r="O40" s="244">
        <f t="shared" si="5"/>
        <v>63.512100000000004</v>
      </c>
      <c r="P40" s="244">
        <f t="shared" si="6"/>
        <v>63.512100000000004</v>
      </c>
      <c r="R40" s="244">
        <v>131.58000000000001</v>
      </c>
      <c r="S40" s="244">
        <f t="shared" si="24"/>
        <v>100.00080000000001</v>
      </c>
      <c r="T40" s="244">
        <f t="shared" si="8"/>
        <v>90.000720000000015</v>
      </c>
      <c r="U40" s="244">
        <f t="shared" si="2"/>
        <v>90.000720000000015</v>
      </c>
      <c r="V40" s="229">
        <v>90</v>
      </c>
      <c r="W40" s="244">
        <v>92</v>
      </c>
      <c r="X40" s="244">
        <f t="shared" si="9"/>
        <v>105.8</v>
      </c>
      <c r="Y40" s="309">
        <v>179.31</v>
      </c>
      <c r="Z40" s="244">
        <f t="shared" si="10"/>
        <v>-73.510000000000005</v>
      </c>
      <c r="AA40" s="244">
        <f t="shared" si="11"/>
        <v>69.480151228733462</v>
      </c>
      <c r="AB40" s="244">
        <f t="shared" si="12"/>
        <v>139.21052631578948</v>
      </c>
      <c r="AC40" s="229">
        <v>235.94</v>
      </c>
      <c r="AD40" s="317">
        <f t="shared" si="13"/>
        <v>200.54900000000001</v>
      </c>
      <c r="AE40" s="244">
        <f t="shared" si="14"/>
        <v>152.41724000000002</v>
      </c>
      <c r="AF40" s="244">
        <f t="shared" si="15"/>
        <v>137.17551600000002</v>
      </c>
      <c r="AG40" s="244">
        <v>90</v>
      </c>
      <c r="AH40" s="244">
        <v>90</v>
      </c>
      <c r="AI40" s="244"/>
      <c r="AJ40" s="244">
        <v>90</v>
      </c>
      <c r="AK40" s="244">
        <f t="shared" si="16"/>
        <v>47.175516000000016</v>
      </c>
      <c r="AL40" s="433">
        <v>114</v>
      </c>
      <c r="AM40" s="432"/>
      <c r="AN40"/>
      <c r="AO40" s="232">
        <v>114</v>
      </c>
      <c r="AP40" s="244"/>
      <c r="AQ40" s="244">
        <f t="shared" si="17"/>
        <v>164.16</v>
      </c>
      <c r="AR40" s="244"/>
      <c r="AS40" s="244">
        <f t="shared" si="18"/>
        <v>124.7616</v>
      </c>
      <c r="AU40" s="350">
        <v>114</v>
      </c>
      <c r="AV40" s="244">
        <f t="shared" si="19"/>
        <v>209</v>
      </c>
      <c r="AW40" s="457">
        <f t="shared" si="20"/>
        <v>125.4</v>
      </c>
      <c r="AX40" s="244">
        <f t="shared" si="21"/>
        <v>135.85</v>
      </c>
      <c r="AY40" s="458">
        <f t="shared" si="22"/>
        <v>158.84</v>
      </c>
      <c r="BA40" s="458">
        <f t="shared" si="23"/>
        <v>-33.44</v>
      </c>
    </row>
    <row r="41" spans="1:53" ht="23.25" customHeight="1" thickBot="1">
      <c r="A41" s="725" t="s">
        <v>618</v>
      </c>
      <c r="B41" s="726"/>
      <c r="C41" s="101">
        <v>125</v>
      </c>
      <c r="D41" s="102" t="s">
        <v>23</v>
      </c>
      <c r="E41" s="102" t="s">
        <v>89</v>
      </c>
      <c r="F41" s="307">
        <f t="shared" si="3"/>
        <v>111.46666666666667</v>
      </c>
      <c r="G41" s="103" t="s">
        <v>8</v>
      </c>
      <c r="H41" s="233">
        <v>78.41</v>
      </c>
      <c r="I41" s="320"/>
      <c r="J41" s="320"/>
      <c r="K41" s="266"/>
      <c r="L41" s="244"/>
      <c r="M41" s="244">
        <f t="shared" si="0"/>
        <v>70.569000000000003</v>
      </c>
      <c r="N41" s="244">
        <f t="shared" si="4"/>
        <v>92.853947368421061</v>
      </c>
      <c r="O41" s="244">
        <f t="shared" si="5"/>
        <v>63.512100000000004</v>
      </c>
      <c r="P41" s="244">
        <f t="shared" si="6"/>
        <v>63.512100000000004</v>
      </c>
      <c r="R41" s="244">
        <f t="shared" si="7"/>
        <v>88.211250000000007</v>
      </c>
      <c r="S41" s="244">
        <f t="shared" si="24"/>
        <v>67.04055000000001</v>
      </c>
      <c r="T41" s="244">
        <f t="shared" si="8"/>
        <v>60.336495000000014</v>
      </c>
      <c r="U41" s="244">
        <f t="shared" si="2"/>
        <v>60.336495000000014</v>
      </c>
      <c r="V41" s="229">
        <v>35</v>
      </c>
      <c r="W41" s="244">
        <v>37</v>
      </c>
      <c r="X41" s="244">
        <f t="shared" si="9"/>
        <v>42.55</v>
      </c>
      <c r="Y41" s="309">
        <v>76.569999999999993</v>
      </c>
      <c r="Z41" s="244">
        <f t="shared" si="10"/>
        <v>-34.019999999999996</v>
      </c>
      <c r="AA41" s="244">
        <f t="shared" si="11"/>
        <v>79.952996474735585</v>
      </c>
      <c r="AB41" s="244">
        <f t="shared" si="12"/>
        <v>55.986842105263158</v>
      </c>
      <c r="AC41" s="229">
        <v>100.75</v>
      </c>
      <c r="AD41" s="317">
        <f t="shared" si="13"/>
        <v>85.637500000000003</v>
      </c>
      <c r="AE41" s="244">
        <f t="shared" si="14"/>
        <v>65.084500000000006</v>
      </c>
      <c r="AF41" s="244">
        <f t="shared" si="15"/>
        <v>58.576050000000009</v>
      </c>
      <c r="AG41" s="244">
        <v>35</v>
      </c>
      <c r="AH41" s="244">
        <v>35</v>
      </c>
      <c r="AI41" s="244"/>
      <c r="AJ41" s="244">
        <v>35</v>
      </c>
      <c r="AK41" s="244">
        <f t="shared" si="16"/>
        <v>23.576050000000009</v>
      </c>
      <c r="AL41" s="432">
        <v>50</v>
      </c>
      <c r="AM41" s="433">
        <v>57.73</v>
      </c>
      <c r="AN41"/>
      <c r="AO41" s="434">
        <v>58</v>
      </c>
      <c r="AP41" s="244"/>
      <c r="AQ41" s="244">
        <f t="shared" si="17"/>
        <v>83.52</v>
      </c>
      <c r="AR41" s="244"/>
      <c r="AS41" s="244">
        <f t="shared" si="18"/>
        <v>63.475200000000001</v>
      </c>
      <c r="AU41" s="281">
        <v>60.8</v>
      </c>
      <c r="AV41" s="244">
        <f t="shared" si="19"/>
        <v>111.46666666666667</v>
      </c>
      <c r="AW41" s="457">
        <f t="shared" si="20"/>
        <v>66.88</v>
      </c>
      <c r="AX41" s="244">
        <f t="shared" si="21"/>
        <v>72.453333333333333</v>
      </c>
      <c r="AY41" s="458">
        <f t="shared" si="22"/>
        <v>84.714666666666673</v>
      </c>
      <c r="BA41" s="458">
        <f t="shared" si="23"/>
        <v>-17.834666666666678</v>
      </c>
    </row>
    <row r="42" spans="1:53" ht="23.25" customHeight="1" thickBot="1">
      <c r="A42" s="727" t="s">
        <v>645</v>
      </c>
      <c r="B42" s="728"/>
      <c r="C42" s="104">
        <v>126</v>
      </c>
      <c r="D42" s="105" t="s">
        <v>23</v>
      </c>
      <c r="E42" s="105" t="s">
        <v>89</v>
      </c>
      <c r="F42" s="341">
        <f t="shared" si="3"/>
        <v>100.83333333333334</v>
      </c>
      <c r="G42" s="106" t="s">
        <v>8</v>
      </c>
      <c r="H42" s="233">
        <v>79.41</v>
      </c>
      <c r="I42" s="320"/>
      <c r="J42" s="320"/>
      <c r="K42" s="266"/>
      <c r="L42" s="244"/>
      <c r="M42" s="244">
        <f t="shared" ref="M42" si="25">SUM(H42*0.9)</f>
        <v>71.468999999999994</v>
      </c>
      <c r="N42" s="244">
        <f t="shared" ref="N42" si="26">SUM(M42*100/76)</f>
        <v>94.038157894736841</v>
      </c>
      <c r="O42" s="244">
        <f t="shared" ref="O42" si="27">SUM(M42*0.9)</f>
        <v>64.322099999999992</v>
      </c>
      <c r="P42" s="244">
        <f t="shared" ref="P42" si="28">SUM(O42-K42)</f>
        <v>64.322099999999992</v>
      </c>
      <c r="R42" s="244">
        <f t="shared" ref="R42" si="29">SUM(N42*0.95)</f>
        <v>89.336249999999993</v>
      </c>
      <c r="S42" s="244">
        <f t="shared" ref="S42" si="30">SUM(R42*0.76)</f>
        <v>67.89555</v>
      </c>
      <c r="T42" s="244">
        <f t="shared" ref="T42" si="31">SUM(S42*0.9)</f>
        <v>61.105995</v>
      </c>
      <c r="U42" s="244">
        <f t="shared" ref="U42" si="32">SUM(T42-K42)</f>
        <v>61.105995</v>
      </c>
      <c r="V42" s="229">
        <v>35</v>
      </c>
      <c r="W42" s="244">
        <v>37</v>
      </c>
      <c r="X42" s="244">
        <f t="shared" ref="X42" si="33">SUM(W42*1.15)</f>
        <v>42.55</v>
      </c>
      <c r="Y42" s="309">
        <v>77.569999999999993</v>
      </c>
      <c r="Z42" s="244">
        <f t="shared" ref="Z42" si="34">SUM(X42-Y42)</f>
        <v>-35.019999999999996</v>
      </c>
      <c r="AA42" s="244">
        <f t="shared" ref="AA42" si="35">SUM(Y42*100/X42-100)</f>
        <v>82.30317273795535</v>
      </c>
      <c r="AB42" s="244">
        <f t="shared" ref="AB42" si="36">SUM(X42*100/0.76/100)</f>
        <v>55.986842105263158</v>
      </c>
      <c r="AC42" s="229">
        <v>101.75</v>
      </c>
      <c r="AD42" s="317">
        <f t="shared" ref="AD42" si="37">SUM(AC42*0.85)</f>
        <v>86.487499999999997</v>
      </c>
      <c r="AE42" s="244">
        <f t="shared" ref="AE42" si="38">SUM(AD42*0.76)</f>
        <v>65.730499999999992</v>
      </c>
      <c r="AF42" s="244">
        <f t="shared" ref="AF42" si="39">SUM(AE42*0.9)</f>
        <v>59.157449999999997</v>
      </c>
      <c r="AG42" s="244">
        <v>35</v>
      </c>
      <c r="AH42" s="244">
        <v>35</v>
      </c>
      <c r="AI42" s="244"/>
      <c r="AJ42" s="244">
        <v>35</v>
      </c>
      <c r="AK42" s="244">
        <f t="shared" ref="AK42" si="40">SUM(AF42-AJ42)</f>
        <v>24.157449999999997</v>
      </c>
      <c r="AL42" s="432"/>
      <c r="AM42" s="432"/>
      <c r="AN42" s="429">
        <v>55</v>
      </c>
      <c r="AO42" s="232">
        <v>55</v>
      </c>
      <c r="AP42" s="244"/>
      <c r="AQ42" s="244">
        <f t="shared" ref="AQ42" si="41">SUM(AO42*1.44)</f>
        <v>79.2</v>
      </c>
      <c r="AR42" s="244"/>
      <c r="AS42" s="244">
        <f t="shared" ref="AS42" si="42">SUM(AQ42*0.76)</f>
        <v>60.192</v>
      </c>
      <c r="AU42" s="350">
        <v>55</v>
      </c>
      <c r="AV42" s="244">
        <f t="shared" si="19"/>
        <v>100.83333333333334</v>
      </c>
      <c r="AW42" s="457">
        <f t="shared" si="20"/>
        <v>60.500000000000007</v>
      </c>
      <c r="AX42" s="244">
        <f t="shared" si="21"/>
        <v>65.541666666666671</v>
      </c>
      <c r="AY42" s="458">
        <f t="shared" si="22"/>
        <v>76.63333333333334</v>
      </c>
      <c r="BA42" s="458">
        <f t="shared" si="23"/>
        <v>-16.133333333333333</v>
      </c>
    </row>
    <row r="43" spans="1:53" ht="18" customHeight="1" thickBot="1">
      <c r="A43" s="725" t="s">
        <v>215</v>
      </c>
      <c r="B43" s="726"/>
      <c r="C43" s="101">
        <v>125</v>
      </c>
      <c r="D43" s="102" t="s">
        <v>23</v>
      </c>
      <c r="E43" s="102" t="s">
        <v>89</v>
      </c>
      <c r="F43" s="307">
        <f t="shared" si="3"/>
        <v>209</v>
      </c>
      <c r="G43" s="103" t="s">
        <v>8</v>
      </c>
      <c r="H43" s="233">
        <v>78.41</v>
      </c>
      <c r="I43" s="320"/>
      <c r="J43" s="320"/>
      <c r="K43" s="266"/>
      <c r="L43" s="244"/>
      <c r="M43" s="244">
        <f t="shared" si="0"/>
        <v>70.569000000000003</v>
      </c>
      <c r="N43" s="244">
        <f t="shared" si="4"/>
        <v>92.853947368421061</v>
      </c>
      <c r="O43" s="244">
        <f t="shared" si="5"/>
        <v>63.512100000000004</v>
      </c>
      <c r="P43" s="244">
        <f t="shared" si="6"/>
        <v>63.512100000000004</v>
      </c>
      <c r="R43" s="244">
        <v>131.58000000000001</v>
      </c>
      <c r="S43" s="244">
        <f t="shared" si="24"/>
        <v>100.00080000000001</v>
      </c>
      <c r="T43" s="244">
        <f t="shared" si="8"/>
        <v>90.000720000000015</v>
      </c>
      <c r="U43" s="244">
        <f t="shared" si="2"/>
        <v>90.000720000000015</v>
      </c>
      <c r="V43" s="229">
        <v>90</v>
      </c>
      <c r="W43" s="244">
        <v>92</v>
      </c>
      <c r="X43" s="244">
        <f t="shared" si="9"/>
        <v>105.8</v>
      </c>
      <c r="Y43" s="309">
        <v>179.31</v>
      </c>
      <c r="Z43" s="244">
        <f t="shared" si="10"/>
        <v>-73.510000000000005</v>
      </c>
      <c r="AA43" s="244">
        <f t="shared" si="11"/>
        <v>69.480151228733462</v>
      </c>
      <c r="AB43" s="244">
        <f t="shared" si="12"/>
        <v>139.21052631578948</v>
      </c>
      <c r="AC43" s="229">
        <v>235.94</v>
      </c>
      <c r="AD43" s="317">
        <f t="shared" si="13"/>
        <v>200.54900000000001</v>
      </c>
      <c r="AE43" s="244">
        <f t="shared" si="14"/>
        <v>152.41724000000002</v>
      </c>
      <c r="AF43" s="244">
        <f t="shared" si="15"/>
        <v>137.17551600000002</v>
      </c>
      <c r="AG43" s="244">
        <v>90</v>
      </c>
      <c r="AH43" s="244">
        <v>90</v>
      </c>
      <c r="AI43" s="244"/>
      <c r="AJ43" s="244">
        <v>90</v>
      </c>
      <c r="AK43" s="244">
        <f t="shared" si="16"/>
        <v>47.175516000000016</v>
      </c>
      <c r="AL43" s="432">
        <v>114</v>
      </c>
      <c r="AM43" s="432"/>
      <c r="AN43"/>
      <c r="AO43" s="232">
        <v>114</v>
      </c>
      <c r="AP43" s="244"/>
      <c r="AQ43" s="244">
        <f t="shared" si="17"/>
        <v>164.16</v>
      </c>
      <c r="AR43" s="244"/>
      <c r="AS43" s="244">
        <f t="shared" si="18"/>
        <v>124.7616</v>
      </c>
      <c r="AU43" s="350">
        <v>114</v>
      </c>
      <c r="AV43" s="244">
        <f t="shared" si="19"/>
        <v>209</v>
      </c>
      <c r="AW43" s="457">
        <f t="shared" si="20"/>
        <v>125.4</v>
      </c>
      <c r="AX43" s="244">
        <f t="shared" si="21"/>
        <v>135.85</v>
      </c>
      <c r="AY43" s="458">
        <f t="shared" si="22"/>
        <v>158.84</v>
      </c>
      <c r="BA43" s="458">
        <f t="shared" si="23"/>
        <v>-33.44</v>
      </c>
    </row>
    <row r="44" spans="1:53" ht="18" customHeight="1" thickBot="1">
      <c r="A44" s="727" t="s">
        <v>134</v>
      </c>
      <c r="B44" s="728"/>
      <c r="C44" s="104">
        <v>7</v>
      </c>
      <c r="D44" s="105">
        <v>7</v>
      </c>
      <c r="E44" s="105"/>
      <c r="F44" s="341">
        <f t="shared" si="3"/>
        <v>2.0166666666666671</v>
      </c>
      <c r="G44" s="106" t="s">
        <v>8</v>
      </c>
      <c r="H44" s="232">
        <v>0</v>
      </c>
      <c r="I44" s="320"/>
      <c r="J44" s="320"/>
      <c r="K44" s="273"/>
      <c r="L44" s="272"/>
      <c r="M44" s="272">
        <f t="shared" si="0"/>
        <v>0</v>
      </c>
      <c r="N44" s="272">
        <f t="shared" si="4"/>
        <v>0</v>
      </c>
      <c r="O44" s="272">
        <f t="shared" si="5"/>
        <v>0</v>
      </c>
      <c r="P44" s="272">
        <f t="shared" si="6"/>
        <v>0</v>
      </c>
      <c r="Q44" s="274"/>
      <c r="R44" s="272">
        <v>1</v>
      </c>
      <c r="S44" s="272">
        <f t="shared" si="24"/>
        <v>0.76</v>
      </c>
      <c r="T44" s="272">
        <f t="shared" si="8"/>
        <v>0.68400000000000005</v>
      </c>
      <c r="U44" s="272">
        <f t="shared" si="2"/>
        <v>0.68400000000000005</v>
      </c>
      <c r="V44" s="229">
        <v>0.75</v>
      </c>
      <c r="W44" s="244">
        <v>1</v>
      </c>
      <c r="X44" s="244">
        <f t="shared" si="9"/>
        <v>1.1499999999999999</v>
      </c>
      <c r="Y44" s="309">
        <v>1.1499999999999999</v>
      </c>
      <c r="Z44" s="244">
        <f t="shared" si="10"/>
        <v>0</v>
      </c>
      <c r="AA44" s="244">
        <f t="shared" si="11"/>
        <v>0</v>
      </c>
      <c r="AB44" s="244">
        <f t="shared" si="12"/>
        <v>1.5131578947368418</v>
      </c>
      <c r="AC44" s="321"/>
      <c r="AD44" s="319">
        <v>1.3</v>
      </c>
      <c r="AE44" s="319">
        <f t="shared" si="14"/>
        <v>0.9880000000000001</v>
      </c>
      <c r="AF44" s="319">
        <f t="shared" si="15"/>
        <v>0.8892000000000001</v>
      </c>
      <c r="AG44" s="319">
        <v>0.75</v>
      </c>
      <c r="AH44" s="319"/>
      <c r="AI44" s="319"/>
      <c r="AJ44" s="319">
        <v>0.75</v>
      </c>
      <c r="AK44" s="319">
        <f t="shared" si="16"/>
        <v>0.1392000000000001</v>
      </c>
      <c r="AL44" s="432">
        <v>1.1000000000000001</v>
      </c>
      <c r="AM44" s="432"/>
      <c r="AN44"/>
      <c r="AO44" s="232">
        <v>1.1000000000000001</v>
      </c>
      <c r="AP44" s="244"/>
      <c r="AQ44" s="244">
        <f t="shared" si="17"/>
        <v>1.5840000000000001</v>
      </c>
      <c r="AR44" s="244"/>
      <c r="AS44" s="244">
        <f t="shared" si="18"/>
        <v>1.20384</v>
      </c>
      <c r="AU44" s="350">
        <v>1.1000000000000001</v>
      </c>
      <c r="AV44" s="244">
        <f t="shared" si="19"/>
        <v>2.0166666666666671</v>
      </c>
      <c r="AW44" s="457">
        <f t="shared" si="20"/>
        <v>1.2100000000000002</v>
      </c>
      <c r="AX44" s="244">
        <f t="shared" si="21"/>
        <v>1.3108333333333337</v>
      </c>
      <c r="AY44" s="458">
        <f t="shared" si="22"/>
        <v>1.5326666666666671</v>
      </c>
      <c r="BA44" s="458">
        <f t="shared" si="23"/>
        <v>-0.32266666666666688</v>
      </c>
    </row>
    <row r="45" spans="1:53" ht="18" customHeight="1" thickBot="1">
      <c r="A45" s="725" t="s">
        <v>135</v>
      </c>
      <c r="B45" s="726"/>
      <c r="C45" s="101">
        <v>7</v>
      </c>
      <c r="D45" s="102">
        <v>140</v>
      </c>
      <c r="E45" s="102"/>
      <c r="F45" s="307">
        <f t="shared" si="3"/>
        <v>16.133333333333336</v>
      </c>
      <c r="G45" s="103" t="s">
        <v>8</v>
      </c>
      <c r="H45" s="232">
        <v>0</v>
      </c>
      <c r="I45" s="320"/>
      <c r="J45" s="320"/>
      <c r="K45" s="273"/>
      <c r="L45" s="275"/>
      <c r="M45" s="272">
        <f t="shared" si="0"/>
        <v>0</v>
      </c>
      <c r="N45" s="272">
        <f t="shared" si="4"/>
        <v>0</v>
      </c>
      <c r="O45" s="272">
        <f t="shared" si="5"/>
        <v>0</v>
      </c>
      <c r="P45" s="272">
        <f t="shared" si="6"/>
        <v>0</v>
      </c>
      <c r="Q45" s="274"/>
      <c r="R45" s="272">
        <v>7</v>
      </c>
      <c r="S45" s="272">
        <f t="shared" si="24"/>
        <v>5.32</v>
      </c>
      <c r="T45" s="272">
        <f t="shared" si="8"/>
        <v>4.7880000000000003</v>
      </c>
      <c r="U45" s="272">
        <f t="shared" si="2"/>
        <v>4.7880000000000003</v>
      </c>
      <c r="V45" s="229">
        <v>4.5</v>
      </c>
      <c r="W45" s="244">
        <v>6</v>
      </c>
      <c r="X45" s="244">
        <f t="shared" si="9"/>
        <v>6.8999999999999995</v>
      </c>
      <c r="Y45" s="309">
        <v>6.9</v>
      </c>
      <c r="Z45" s="244">
        <f t="shared" si="10"/>
        <v>-8.8817841970012523E-16</v>
      </c>
      <c r="AA45" s="244">
        <f t="shared" si="11"/>
        <v>1.4210854715202004E-14</v>
      </c>
      <c r="AB45" s="244">
        <f t="shared" si="12"/>
        <v>9.0789473684210513</v>
      </c>
      <c r="AC45" s="321"/>
      <c r="AD45" s="319">
        <v>7</v>
      </c>
      <c r="AE45" s="319">
        <f t="shared" si="14"/>
        <v>5.32</v>
      </c>
      <c r="AF45" s="319">
        <f t="shared" si="15"/>
        <v>4.7880000000000003</v>
      </c>
      <c r="AG45" s="319">
        <v>4.5</v>
      </c>
      <c r="AH45" s="319"/>
      <c r="AI45" s="319"/>
      <c r="AJ45" s="319">
        <v>4.5</v>
      </c>
      <c r="AK45" s="319">
        <f t="shared" si="16"/>
        <v>0.28800000000000026</v>
      </c>
      <c r="AL45" s="433">
        <v>9.08</v>
      </c>
      <c r="AM45" s="432"/>
      <c r="AN45"/>
      <c r="AO45" s="434">
        <v>9.1</v>
      </c>
      <c r="AP45" s="244"/>
      <c r="AQ45" s="244">
        <f t="shared" si="17"/>
        <v>13.103999999999999</v>
      </c>
      <c r="AR45" s="244"/>
      <c r="AS45" s="244">
        <f t="shared" si="18"/>
        <v>9.9590399999999999</v>
      </c>
      <c r="AU45" s="281">
        <v>8.8000000000000007</v>
      </c>
      <c r="AV45" s="244">
        <f t="shared" si="19"/>
        <v>16.133333333333336</v>
      </c>
      <c r="AW45" s="457">
        <f t="shared" si="20"/>
        <v>9.6800000000000015</v>
      </c>
      <c r="AX45" s="244">
        <f t="shared" si="21"/>
        <v>10.48666666666667</v>
      </c>
      <c r="AY45" s="458">
        <f t="shared" si="22"/>
        <v>12.261333333333337</v>
      </c>
      <c r="BA45" s="458">
        <f t="shared" si="23"/>
        <v>-2.581333333333335</v>
      </c>
    </row>
    <row r="46" spans="1:53">
      <c r="A46" s="13"/>
      <c r="B46" s="9"/>
    </row>
    <row r="47" spans="1:53">
      <c r="A47" s="13"/>
      <c r="B47" s="9"/>
    </row>
  </sheetData>
  <sheetProtection password="CC4F" sheet="1" objects="1" scenarios="1"/>
  <mergeCells count="48">
    <mergeCell ref="A2:G2"/>
    <mergeCell ref="R2:U2"/>
    <mergeCell ref="AG2:AJ2"/>
    <mergeCell ref="A3:B3"/>
    <mergeCell ref="C3:E3"/>
    <mergeCell ref="F3:G3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39:B39"/>
    <mergeCell ref="A28:B28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6:B26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41:B41"/>
    <mergeCell ref="A43:B43"/>
    <mergeCell ref="A44:B44"/>
    <mergeCell ref="A45:B45"/>
    <mergeCell ref="A40:B40"/>
    <mergeCell ref="A42:B42"/>
  </mergeCells>
  <pageMargins left="0.39370078740157483" right="0.39370078740157483" top="0.39370078740157483" bottom="0.39370078740157483" header="0.51181102362204722" footer="0.51181102362204722"/>
  <pageSetup paperSize="9" scale="94" orientation="portrait" r:id="rId1"/>
  <headerFooter>
    <oddHeader>&amp;L&amp;G&amp;R&amp;"Arial Cyr,полужирный курсив" 02160, Украина
 г. Киев, ул. Вискозная, 17
 тел.: 503-77-88
 www.stalex.ua</oddHeader>
  </headerFooter>
  <colBreaks count="2" manualBreakCount="2">
    <brk id="7" max="44" man="1"/>
    <brk id="47" max="44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7030A0"/>
    <pageSetUpPr fitToPage="1"/>
  </sheetPr>
  <dimension ref="A1:BO28"/>
  <sheetViews>
    <sheetView view="pageBreakPreview" zoomScale="70" zoomScaleNormal="100" zoomScaleSheetLayoutView="70" workbookViewId="0">
      <selection activeCell="G19" sqref="G19"/>
    </sheetView>
  </sheetViews>
  <sheetFormatPr defaultColWidth="8.85546875" defaultRowHeight="15" outlineLevelCol="2"/>
  <cols>
    <col min="1" max="1" width="47.140625" style="196" customWidth="1"/>
    <col min="2" max="2" width="8.7109375" style="196" customWidth="1"/>
    <col min="3" max="3" width="17.85546875" style="196" customWidth="1"/>
    <col min="4" max="4" width="18.85546875" style="196" customWidth="1"/>
    <col min="5" max="5" width="18.42578125" style="196" customWidth="1"/>
    <col min="6" max="6" width="15.5703125" style="196" customWidth="1"/>
    <col min="7" max="7" width="15.140625" style="196" customWidth="1"/>
    <col min="8" max="8" width="15.140625" style="196" hidden="1" customWidth="1" outlineLevel="2"/>
    <col min="9" max="33" width="14.7109375" style="196" hidden="1" customWidth="1" outlineLevel="2"/>
    <col min="34" max="34" width="1.140625" style="196" hidden="1" customWidth="1" outlineLevel="1"/>
    <col min="35" max="46" width="14.7109375" style="196" hidden="1" customWidth="1" outlineLevel="2"/>
    <col min="47" max="49" width="14.28515625" style="196" hidden="1" customWidth="1" outlineLevel="2"/>
    <col min="50" max="50" width="3" style="196" hidden="1" customWidth="1" outlineLevel="1" collapsed="1"/>
    <col min="51" max="65" width="13.5703125" style="196" hidden="1" customWidth="1" outlineLevel="1"/>
    <col min="66" max="66" width="8.85546875" style="196" hidden="1" customWidth="1" outlineLevel="1"/>
    <col min="67" max="67" width="8.85546875" style="196" collapsed="1"/>
    <col min="68" max="16384" width="8.85546875" style="196"/>
  </cols>
  <sheetData>
    <row r="1" spans="1:66" ht="33.75">
      <c r="D1" s="200"/>
      <c r="G1" s="197"/>
      <c r="H1" s="197"/>
      <c r="I1" s="197"/>
      <c r="J1" s="197"/>
    </row>
    <row r="2" spans="1:66" ht="21.75" customHeight="1">
      <c r="A2" s="332" t="s">
        <v>602</v>
      </c>
      <c r="D2" s="200"/>
      <c r="G2" s="198"/>
      <c r="H2" s="198"/>
      <c r="I2" s="198"/>
      <c r="J2" s="198"/>
      <c r="AT2" s="196">
        <v>40</v>
      </c>
    </row>
    <row r="3" spans="1:66" ht="25.5" customHeight="1" thickBot="1">
      <c r="D3" s="200"/>
      <c r="G3" s="199"/>
      <c r="H3" s="777" t="s">
        <v>604</v>
      </c>
      <c r="I3" s="777"/>
      <c r="J3" s="777"/>
      <c r="K3" s="777"/>
      <c r="L3" s="777"/>
      <c r="M3" s="777" t="s">
        <v>605</v>
      </c>
      <c r="N3" s="777"/>
      <c r="O3" s="777"/>
      <c r="P3" s="777"/>
      <c r="Q3" s="777"/>
      <c r="R3" s="777" t="s">
        <v>606</v>
      </c>
      <c r="S3" s="777"/>
      <c r="T3" s="777"/>
      <c r="U3" s="777"/>
      <c r="V3" s="777"/>
      <c r="Y3" s="336" t="s">
        <v>608</v>
      </c>
      <c r="AD3" s="337" t="s">
        <v>607</v>
      </c>
      <c r="AS3" s="748" t="s">
        <v>506</v>
      </c>
      <c r="AT3" s="748"/>
      <c r="AU3" s="748"/>
      <c r="AV3" s="748"/>
      <c r="AW3" s="748"/>
      <c r="BC3" s="196" t="s">
        <v>613</v>
      </c>
    </row>
    <row r="4" spans="1:66" ht="191.25" hidden="1" customHeight="1">
      <c r="C4" s="201"/>
      <c r="D4" s="201"/>
      <c r="E4" s="201"/>
      <c r="F4" s="201"/>
      <c r="G4" s="201"/>
      <c r="H4" s="201"/>
      <c r="I4" s="201"/>
      <c r="J4" s="201"/>
    </row>
    <row r="5" spans="1:66" ht="126" customHeight="1" thickTop="1" thickBot="1">
      <c r="A5" s="778" t="s">
        <v>28</v>
      </c>
      <c r="B5" s="778" t="s">
        <v>508</v>
      </c>
      <c r="C5" s="333" t="s">
        <v>597</v>
      </c>
      <c r="D5" s="331" t="s">
        <v>598</v>
      </c>
      <c r="E5" s="331" t="s">
        <v>599</v>
      </c>
      <c r="F5" s="331" t="s">
        <v>600</v>
      </c>
      <c r="G5" s="331" t="s">
        <v>601</v>
      </c>
      <c r="H5" s="212" t="s">
        <v>509</v>
      </c>
      <c r="I5" s="335" t="s">
        <v>510</v>
      </c>
      <c r="J5" s="774" t="s">
        <v>511</v>
      </c>
      <c r="K5" s="774"/>
      <c r="L5" s="205" t="s">
        <v>512</v>
      </c>
      <c r="M5" s="203" t="s">
        <v>509</v>
      </c>
      <c r="N5" s="335" t="s">
        <v>510</v>
      </c>
      <c r="O5" s="774" t="s">
        <v>511</v>
      </c>
      <c r="P5" s="774"/>
      <c r="Q5" s="204" t="s">
        <v>512</v>
      </c>
      <c r="R5" s="203" t="s">
        <v>509</v>
      </c>
      <c r="S5" s="335" t="s">
        <v>510</v>
      </c>
      <c r="T5" s="774" t="s">
        <v>511</v>
      </c>
      <c r="U5" s="774"/>
      <c r="V5" s="205" t="s">
        <v>512</v>
      </c>
      <c r="W5" s="295" t="s">
        <v>509</v>
      </c>
      <c r="X5" s="335" t="s">
        <v>510</v>
      </c>
      <c r="Y5" s="774" t="s">
        <v>511</v>
      </c>
      <c r="Z5" s="774"/>
      <c r="AA5" s="296" t="s">
        <v>512</v>
      </c>
      <c r="AB5" s="212" t="s">
        <v>509</v>
      </c>
      <c r="AC5" s="335" t="s">
        <v>510</v>
      </c>
      <c r="AD5" s="774" t="s">
        <v>511</v>
      </c>
      <c r="AE5" s="774"/>
      <c r="AF5" s="204" t="s">
        <v>512</v>
      </c>
      <c r="AS5" s="333" t="s">
        <v>597</v>
      </c>
      <c r="AT5" s="331" t="s">
        <v>598</v>
      </c>
      <c r="AU5" s="331" t="s">
        <v>599</v>
      </c>
      <c r="AV5" s="331" t="s">
        <v>600</v>
      </c>
      <c r="AW5" s="331" t="s">
        <v>601</v>
      </c>
      <c r="AY5" s="196" t="s">
        <v>603</v>
      </c>
      <c r="BI5" s="333" t="s">
        <v>597</v>
      </c>
      <c r="BJ5" s="331" t="s">
        <v>598</v>
      </c>
      <c r="BK5" s="331" t="s">
        <v>599</v>
      </c>
      <c r="BL5" s="331" t="s">
        <v>600</v>
      </c>
      <c r="BM5" s="331" t="s">
        <v>601</v>
      </c>
      <c r="BN5" s="196" t="s">
        <v>646</v>
      </c>
    </row>
    <row r="6" spans="1:66" ht="23.25" customHeight="1" thickTop="1" thickBot="1">
      <c r="A6" s="778"/>
      <c r="B6" s="778"/>
      <c r="C6" s="330" t="s">
        <v>513</v>
      </c>
      <c r="D6" s="330" t="s">
        <v>514</v>
      </c>
      <c r="E6" s="330" t="s">
        <v>515</v>
      </c>
      <c r="F6" s="330" t="s">
        <v>515</v>
      </c>
      <c r="G6" s="330" t="s">
        <v>516</v>
      </c>
      <c r="M6" s="206"/>
      <c r="N6" s="207"/>
      <c r="O6" s="207"/>
      <c r="P6" s="207"/>
      <c r="Q6" s="208"/>
      <c r="R6" s="206"/>
      <c r="S6" s="207"/>
      <c r="T6" s="207"/>
      <c r="U6" s="207"/>
      <c r="V6" s="207"/>
      <c r="W6" s="297"/>
      <c r="X6" s="207"/>
      <c r="Y6" s="207"/>
      <c r="Z6" s="207"/>
      <c r="AA6" s="298"/>
      <c r="AB6" s="293" t="s">
        <v>513</v>
      </c>
      <c r="AC6" s="290" t="s">
        <v>514</v>
      </c>
      <c r="AD6" s="290" t="s">
        <v>515</v>
      </c>
      <c r="AE6" s="290" t="s">
        <v>515</v>
      </c>
      <c r="AF6" s="290" t="s">
        <v>516</v>
      </c>
      <c r="AI6" s="743" t="s">
        <v>609</v>
      </c>
      <c r="AJ6" s="743"/>
      <c r="AK6" s="743"/>
      <c r="AL6" s="743"/>
      <c r="AM6" s="743"/>
      <c r="AN6" s="743" t="s">
        <v>610</v>
      </c>
      <c r="AO6" s="743"/>
      <c r="AP6" s="743"/>
      <c r="AQ6" s="743"/>
      <c r="AR6" s="743"/>
      <c r="AS6" s="330" t="s">
        <v>513</v>
      </c>
      <c r="AT6" s="330" t="s">
        <v>514</v>
      </c>
      <c r="AU6" s="330" t="s">
        <v>515</v>
      </c>
      <c r="AV6" s="330" t="s">
        <v>515</v>
      </c>
      <c r="AW6" s="330" t="s">
        <v>516</v>
      </c>
      <c r="AY6" s="743" t="s">
        <v>611</v>
      </c>
      <c r="AZ6" s="743"/>
      <c r="BA6" s="743"/>
      <c r="BB6" s="743"/>
      <c r="BC6" s="743"/>
      <c r="BD6" s="743" t="s">
        <v>612</v>
      </c>
      <c r="BE6" s="743"/>
      <c r="BF6" s="743"/>
      <c r="BG6" s="743"/>
      <c r="BH6" s="743"/>
      <c r="BI6" s="368" t="s">
        <v>513</v>
      </c>
      <c r="BJ6" s="368" t="s">
        <v>514</v>
      </c>
      <c r="BK6" s="368" t="s">
        <v>515</v>
      </c>
      <c r="BL6" s="368" t="s">
        <v>515</v>
      </c>
      <c r="BM6" s="368" t="s">
        <v>516</v>
      </c>
    </row>
    <row r="7" spans="1:66" ht="20.25" customHeight="1" thickTop="1" thickBot="1">
      <c r="A7" s="326" t="s">
        <v>517</v>
      </c>
      <c r="B7" s="327" t="s">
        <v>518</v>
      </c>
      <c r="C7" s="437">
        <v>173.10000000000002</v>
      </c>
      <c r="D7" s="438">
        <v>221.10000000000002</v>
      </c>
      <c r="E7" s="437">
        <v>236.1</v>
      </c>
      <c r="F7" s="437">
        <v>375.6</v>
      </c>
      <c r="G7" s="439">
        <v>365.1</v>
      </c>
      <c r="H7" s="303">
        <v>81.49860000000001</v>
      </c>
      <c r="I7" s="303">
        <v>104.1048</v>
      </c>
      <c r="J7" s="303">
        <v>123.56459999999997</v>
      </c>
      <c r="K7" s="303">
        <v>176.88239999999999</v>
      </c>
      <c r="L7" s="303">
        <v>171.92339999999999</v>
      </c>
      <c r="M7" s="235">
        <v>122.28552631578948</v>
      </c>
      <c r="N7" s="235">
        <v>156.20526315789473</v>
      </c>
      <c r="O7" s="235">
        <v>185.40394736842103</v>
      </c>
      <c r="P7" s="235">
        <v>265.40526315789475</v>
      </c>
      <c r="Q7" s="236">
        <v>257.96447368421053</v>
      </c>
      <c r="R7" s="234">
        <f>SUM(M7*0.76)</f>
        <v>92.937000000000012</v>
      </c>
      <c r="S7" s="235">
        <f>SUM(N7*0.76)</f>
        <v>118.71599999999999</v>
      </c>
      <c r="T7" s="235">
        <f>SUM(O7*0.76)</f>
        <v>140.90699999999998</v>
      </c>
      <c r="U7" s="235">
        <f>SUM(P7*0.76)</f>
        <v>201.70800000000003</v>
      </c>
      <c r="V7" s="235">
        <f>SUM(Q7*0.76)</f>
        <v>196.053</v>
      </c>
      <c r="W7" s="299">
        <f>SUM(R7*0.88)</f>
        <v>81.784560000000013</v>
      </c>
      <c r="X7" s="291">
        <f>SUM(S7*0.88)</f>
        <v>104.47008</v>
      </c>
      <c r="Y7" s="291">
        <f>SUM(T7*0.88)</f>
        <v>123.99815999999998</v>
      </c>
      <c r="Z7" s="291">
        <f>SUM(U7*0.88)</f>
        <v>177.50304000000003</v>
      </c>
      <c r="AA7" s="300">
        <f>SUM(V7*0.88)</f>
        <v>172.52663999999999</v>
      </c>
      <c r="AB7" s="294"/>
      <c r="AC7" s="291"/>
      <c r="AD7" s="292">
        <v>123.74</v>
      </c>
      <c r="AE7" s="291"/>
      <c r="AF7" s="291">
        <v>173.51</v>
      </c>
      <c r="AI7" s="338">
        <v>142.98000000000002</v>
      </c>
      <c r="AJ7" s="338">
        <v>182.64000000000001</v>
      </c>
      <c r="AK7" s="338">
        <v>216.77999999999997</v>
      </c>
      <c r="AL7" s="338">
        <v>310.32</v>
      </c>
      <c r="AM7" s="338">
        <v>301.62</v>
      </c>
      <c r="AN7" s="339">
        <f>SUM(AI7*0.65)</f>
        <v>92.937000000000012</v>
      </c>
      <c r="AO7" s="339">
        <f>SUM(AJ7*0.65)</f>
        <v>118.71600000000001</v>
      </c>
      <c r="AP7" s="339">
        <f>SUM(AK7*0.65)</f>
        <v>140.90699999999998</v>
      </c>
      <c r="AQ7" s="339">
        <f>SUM(AL7*0.65)</f>
        <v>201.708</v>
      </c>
      <c r="AR7" s="339">
        <f>SUM(AM7*0.65)</f>
        <v>196.053</v>
      </c>
      <c r="AS7" s="338">
        <f>SUM(AI7*0.6)</f>
        <v>85.788000000000011</v>
      </c>
      <c r="AT7" s="338">
        <f>SUM(AJ7*0.6)</f>
        <v>109.584</v>
      </c>
      <c r="AU7" s="338">
        <f>SUM(AK7*0.6)</f>
        <v>130.06799999999998</v>
      </c>
      <c r="AV7" s="338">
        <f>SUM(AL7*0.6)</f>
        <v>186.19199999999998</v>
      </c>
      <c r="AW7" s="338">
        <f>SUM(AM7*0.6)</f>
        <v>180.97200000000001</v>
      </c>
      <c r="AY7" s="338">
        <f>SUM(C7*0.6)</f>
        <v>103.86000000000001</v>
      </c>
      <c r="AZ7" s="338">
        <f t="shared" ref="AZ7:BC22" si="0">SUM(D7*0.6)</f>
        <v>132.66</v>
      </c>
      <c r="BA7" s="338">
        <f t="shared" si="0"/>
        <v>141.66</v>
      </c>
      <c r="BB7" s="338">
        <f t="shared" si="0"/>
        <v>225.36</v>
      </c>
      <c r="BC7" s="338">
        <f t="shared" si="0"/>
        <v>219.06</v>
      </c>
      <c r="BD7" s="339">
        <f>SUM(C7*0.65)</f>
        <v>112.51500000000001</v>
      </c>
      <c r="BE7" s="339">
        <f t="shared" ref="BE7:BH22" si="1">SUM(D7*0.65)</f>
        <v>143.71500000000003</v>
      </c>
      <c r="BF7" s="339">
        <f t="shared" si="1"/>
        <v>153.465</v>
      </c>
      <c r="BG7" s="339">
        <f t="shared" si="1"/>
        <v>244.14000000000001</v>
      </c>
      <c r="BH7" s="339">
        <f t="shared" si="1"/>
        <v>237.31500000000003</v>
      </c>
      <c r="BI7" s="369">
        <f>SUM(AY7*1.03)</f>
        <v>106.97580000000002</v>
      </c>
      <c r="BJ7" s="369">
        <f t="shared" ref="BJ7:BM22" si="2">SUM(AZ7*1.03)</f>
        <v>136.63980000000001</v>
      </c>
      <c r="BK7" s="369">
        <f t="shared" si="2"/>
        <v>145.90979999999999</v>
      </c>
      <c r="BL7" s="369">
        <f t="shared" si="2"/>
        <v>232.12080000000003</v>
      </c>
      <c r="BM7" s="369">
        <f t="shared" si="2"/>
        <v>225.6318</v>
      </c>
    </row>
    <row r="8" spans="1:66" ht="20.25" customHeight="1" thickTop="1" thickBot="1">
      <c r="A8" s="328" t="s">
        <v>519</v>
      </c>
      <c r="B8" s="329" t="s">
        <v>518</v>
      </c>
      <c r="C8" s="446">
        <v>87.72</v>
      </c>
      <c r="D8" s="447">
        <v>106.98000000000002</v>
      </c>
      <c r="E8" s="446">
        <v>120.78</v>
      </c>
      <c r="F8" s="446">
        <v>169.38</v>
      </c>
      <c r="G8" s="448">
        <v>142.44</v>
      </c>
      <c r="H8" s="303">
        <v>41.313600000000001</v>
      </c>
      <c r="I8" s="303">
        <v>50.342399999999998</v>
      </c>
      <c r="J8" s="303">
        <v>56.840399999999995</v>
      </c>
      <c r="K8" s="303">
        <v>79.754400000000004</v>
      </c>
      <c r="L8" s="303">
        <v>67.100399999999993</v>
      </c>
      <c r="M8" s="235">
        <v>61.989473684210523</v>
      </c>
      <c r="N8" s="235">
        <v>75.536842105263176</v>
      </c>
      <c r="O8" s="235">
        <v>85.286842105263162</v>
      </c>
      <c r="P8" s="235">
        <v>119.66842105263159</v>
      </c>
      <c r="Q8" s="236">
        <v>100.68157894736842</v>
      </c>
      <c r="R8" s="234">
        <f t="shared" ref="R8:V25" si="3">SUM(M8*0.76)</f>
        <v>47.111999999999995</v>
      </c>
      <c r="S8" s="235">
        <f t="shared" si="3"/>
        <v>57.408000000000015</v>
      </c>
      <c r="T8" s="235">
        <f t="shared" si="3"/>
        <v>64.817999999999998</v>
      </c>
      <c r="U8" s="235">
        <f t="shared" si="3"/>
        <v>90.948000000000008</v>
      </c>
      <c r="V8" s="235">
        <f t="shared" si="3"/>
        <v>76.518000000000001</v>
      </c>
      <c r="W8" s="299">
        <f t="shared" ref="W8:W20" si="4">SUM(R8*0.88)</f>
        <v>41.458559999999999</v>
      </c>
      <c r="X8" s="291">
        <f t="shared" ref="X8:X15" si="5">SUM(S8*0.88)</f>
        <v>50.519040000000011</v>
      </c>
      <c r="Y8" s="291">
        <f t="shared" ref="Y8:Y15" si="6">SUM(T8*0.88)</f>
        <v>57.039839999999998</v>
      </c>
      <c r="Z8" s="291">
        <f t="shared" ref="Z8:Z22" si="7">SUM(U8*0.88)</f>
        <v>80.034240000000011</v>
      </c>
      <c r="AA8" s="300">
        <f t="shared" ref="AA8:AA22" si="8">SUM(V8*0.88)</f>
        <v>67.335840000000005</v>
      </c>
      <c r="AB8" s="294"/>
      <c r="AC8" s="291"/>
      <c r="AD8" s="291">
        <v>56.92</v>
      </c>
      <c r="AE8" s="291"/>
      <c r="AF8" s="291">
        <v>67.75</v>
      </c>
      <c r="AI8" s="338">
        <v>72.48</v>
      </c>
      <c r="AJ8" s="338">
        <v>88.320000000000007</v>
      </c>
      <c r="AK8" s="338">
        <v>99.72</v>
      </c>
      <c r="AL8" s="338">
        <v>139.92000000000002</v>
      </c>
      <c r="AM8" s="338">
        <v>117.72</v>
      </c>
      <c r="AN8" s="339">
        <f t="shared" ref="AN8:AN19" si="9">SUM(AI8*0.65)</f>
        <v>47.112000000000002</v>
      </c>
      <c r="AO8" s="339">
        <f t="shared" ref="AO8:AO15" si="10">SUM(AJ8*0.65)</f>
        <v>57.408000000000008</v>
      </c>
      <c r="AP8" s="339">
        <f t="shared" ref="AP8:AP15" si="11">SUM(AK8*0.65)</f>
        <v>64.817999999999998</v>
      </c>
      <c r="AQ8" s="339">
        <f t="shared" ref="AQ8:AQ22" si="12">SUM(AL8*0.65)</f>
        <v>90.948000000000008</v>
      </c>
      <c r="AR8" s="339">
        <f t="shared" ref="AR8:AR22" si="13">SUM(AM8*0.65)</f>
        <v>76.518000000000001</v>
      </c>
      <c r="AS8" s="338">
        <f t="shared" ref="AS8:AS19" si="14">SUM(AI8*0.6)</f>
        <v>43.488</v>
      </c>
      <c r="AT8" s="338">
        <f t="shared" ref="AT8:AT15" si="15">SUM(AJ8*0.6)</f>
        <v>52.992000000000004</v>
      </c>
      <c r="AU8" s="338">
        <f t="shared" ref="AU8:AU15" si="16">SUM(AK8*0.6)</f>
        <v>59.831999999999994</v>
      </c>
      <c r="AV8" s="338">
        <f t="shared" ref="AV8:AV22" si="17">SUM(AL8*0.6)</f>
        <v>83.952000000000012</v>
      </c>
      <c r="AW8" s="338">
        <f t="shared" ref="AW8:AW22" si="18">SUM(AM8*0.6)</f>
        <v>70.631999999999991</v>
      </c>
      <c r="AY8" s="338">
        <f t="shared" ref="AY8:AY19" si="19">SUM(C8*0.6)</f>
        <v>52.631999999999998</v>
      </c>
      <c r="AZ8" s="338">
        <f t="shared" si="0"/>
        <v>64.188000000000002</v>
      </c>
      <c r="BA8" s="338">
        <f t="shared" si="0"/>
        <v>72.468000000000004</v>
      </c>
      <c r="BB8" s="338">
        <f t="shared" si="0"/>
        <v>101.628</v>
      </c>
      <c r="BC8" s="338">
        <f t="shared" si="0"/>
        <v>85.463999999999999</v>
      </c>
      <c r="BD8" s="339">
        <f t="shared" ref="BD8:BD19" si="20">SUM(C8*0.65)</f>
        <v>57.018000000000001</v>
      </c>
      <c r="BE8" s="339">
        <f t="shared" si="1"/>
        <v>69.53700000000002</v>
      </c>
      <c r="BF8" s="339">
        <f t="shared" si="1"/>
        <v>78.507000000000005</v>
      </c>
      <c r="BG8" s="339">
        <f t="shared" si="1"/>
        <v>110.09699999999999</v>
      </c>
      <c r="BH8" s="339">
        <f t="shared" si="1"/>
        <v>92.585999999999999</v>
      </c>
      <c r="BI8" s="369">
        <f t="shared" ref="BI8:BI19" si="21">SUM(AY8*1.03)</f>
        <v>54.21096</v>
      </c>
      <c r="BJ8" s="369">
        <f t="shared" si="2"/>
        <v>66.113640000000004</v>
      </c>
      <c r="BK8" s="369">
        <f t="shared" si="2"/>
        <v>74.642040000000009</v>
      </c>
      <c r="BL8" s="369">
        <f t="shared" si="2"/>
        <v>104.67684</v>
      </c>
      <c r="BM8" s="369">
        <f t="shared" si="2"/>
        <v>88.027919999999995</v>
      </c>
    </row>
    <row r="9" spans="1:66" ht="20.25" customHeight="1" thickTop="1" thickBot="1">
      <c r="A9" s="326" t="s">
        <v>520</v>
      </c>
      <c r="B9" s="327" t="s">
        <v>518</v>
      </c>
      <c r="C9" s="440">
        <v>127.20000000000002</v>
      </c>
      <c r="D9" s="441">
        <v>136.02000000000001</v>
      </c>
      <c r="E9" s="440">
        <v>145.62</v>
      </c>
      <c r="F9" s="440">
        <v>202.85999999999996</v>
      </c>
      <c r="G9" s="442">
        <v>243.84</v>
      </c>
      <c r="H9" s="303">
        <v>59.884199999999993</v>
      </c>
      <c r="I9" s="303">
        <v>64.022400000000005</v>
      </c>
      <c r="J9" s="303">
        <v>68.536799999999999</v>
      </c>
      <c r="K9" s="303">
        <v>95.486400000000003</v>
      </c>
      <c r="L9" s="303">
        <v>114.8094</v>
      </c>
      <c r="M9" s="235">
        <v>89.853947368421061</v>
      </c>
      <c r="N9" s="235">
        <v>96.063157894736861</v>
      </c>
      <c r="O9" s="235">
        <v>102.83684210526316</v>
      </c>
      <c r="P9" s="235">
        <v>143.27368421052634</v>
      </c>
      <c r="Q9" s="236">
        <v>172.26710526315787</v>
      </c>
      <c r="R9" s="234">
        <f t="shared" si="3"/>
        <v>68.289000000000001</v>
      </c>
      <c r="S9" s="235">
        <f t="shared" si="3"/>
        <v>73.00800000000001</v>
      </c>
      <c r="T9" s="235">
        <f t="shared" si="3"/>
        <v>78.156000000000006</v>
      </c>
      <c r="U9" s="235">
        <f t="shared" si="3"/>
        <v>108.88800000000002</v>
      </c>
      <c r="V9" s="235">
        <f t="shared" si="3"/>
        <v>130.92299999999997</v>
      </c>
      <c r="W9" s="299">
        <f t="shared" si="4"/>
        <v>60.094320000000003</v>
      </c>
      <c r="X9" s="291">
        <f t="shared" si="5"/>
        <v>64.247040000000013</v>
      </c>
      <c r="Y9" s="291">
        <f t="shared" si="6"/>
        <v>68.777280000000005</v>
      </c>
      <c r="Z9" s="291">
        <f t="shared" si="7"/>
        <v>95.821440000000024</v>
      </c>
      <c r="AA9" s="300">
        <f t="shared" si="8"/>
        <v>115.21223999999998</v>
      </c>
      <c r="AB9" s="294"/>
      <c r="AC9" s="291"/>
      <c r="AD9" s="291">
        <v>68.64</v>
      </c>
      <c r="AE9" s="291"/>
      <c r="AF9" s="291">
        <v>115.88</v>
      </c>
      <c r="AI9" s="338">
        <v>105.06</v>
      </c>
      <c r="AJ9" s="338">
        <v>112.32000000000002</v>
      </c>
      <c r="AK9" s="338">
        <v>120.24000000000001</v>
      </c>
      <c r="AL9" s="338">
        <v>167.52</v>
      </c>
      <c r="AM9" s="338">
        <v>201.42000000000002</v>
      </c>
      <c r="AN9" s="339">
        <f t="shared" si="9"/>
        <v>68.289000000000001</v>
      </c>
      <c r="AO9" s="339">
        <f t="shared" si="10"/>
        <v>73.00800000000001</v>
      </c>
      <c r="AP9" s="339">
        <f t="shared" si="11"/>
        <v>78.156000000000006</v>
      </c>
      <c r="AQ9" s="339">
        <f t="shared" si="12"/>
        <v>108.88800000000001</v>
      </c>
      <c r="AR9" s="339">
        <f t="shared" si="13"/>
        <v>130.923</v>
      </c>
      <c r="AS9" s="338">
        <f t="shared" si="14"/>
        <v>63.036000000000001</v>
      </c>
      <c r="AT9" s="338">
        <f t="shared" si="15"/>
        <v>67.39200000000001</v>
      </c>
      <c r="AU9" s="338">
        <f t="shared" si="16"/>
        <v>72.144000000000005</v>
      </c>
      <c r="AV9" s="338">
        <f t="shared" si="17"/>
        <v>100.512</v>
      </c>
      <c r="AW9" s="338">
        <f t="shared" si="18"/>
        <v>120.852</v>
      </c>
      <c r="AY9" s="338">
        <f t="shared" si="19"/>
        <v>76.320000000000007</v>
      </c>
      <c r="AZ9" s="338">
        <f t="shared" si="0"/>
        <v>81.612000000000009</v>
      </c>
      <c r="BA9" s="338">
        <f t="shared" si="0"/>
        <v>87.372</v>
      </c>
      <c r="BB9" s="338">
        <f t="shared" si="0"/>
        <v>121.71599999999997</v>
      </c>
      <c r="BC9" s="338">
        <f t="shared" si="0"/>
        <v>146.304</v>
      </c>
      <c r="BD9" s="339">
        <f t="shared" si="20"/>
        <v>82.68</v>
      </c>
      <c r="BE9" s="339">
        <f t="shared" si="1"/>
        <v>88.413000000000011</v>
      </c>
      <c r="BF9" s="339">
        <f t="shared" si="1"/>
        <v>94.653000000000006</v>
      </c>
      <c r="BG9" s="339">
        <f t="shared" si="1"/>
        <v>131.85899999999998</v>
      </c>
      <c r="BH9" s="339">
        <f t="shared" si="1"/>
        <v>158.49600000000001</v>
      </c>
      <c r="BI9" s="369">
        <f t="shared" si="21"/>
        <v>78.609600000000015</v>
      </c>
      <c r="BJ9" s="369">
        <f t="shared" si="2"/>
        <v>84.060360000000017</v>
      </c>
      <c r="BK9" s="369">
        <f t="shared" si="2"/>
        <v>89.993160000000003</v>
      </c>
      <c r="BL9" s="369">
        <f t="shared" si="2"/>
        <v>125.36747999999997</v>
      </c>
      <c r="BM9" s="369">
        <f t="shared" si="2"/>
        <v>150.69311999999999</v>
      </c>
    </row>
    <row r="10" spans="1:66" ht="20.25" customHeight="1" thickTop="1" thickBot="1">
      <c r="A10" s="328" t="s">
        <v>521</v>
      </c>
      <c r="B10" s="329" t="s">
        <v>518</v>
      </c>
      <c r="C10" s="446">
        <v>127.20000000000002</v>
      </c>
      <c r="D10" s="447">
        <v>136.02000000000001</v>
      </c>
      <c r="E10" s="446">
        <v>145.62</v>
      </c>
      <c r="F10" s="446">
        <v>202.85999999999996</v>
      </c>
      <c r="G10" s="448">
        <v>174.9</v>
      </c>
      <c r="H10" s="303">
        <v>59.884199999999993</v>
      </c>
      <c r="I10" s="303">
        <v>64.022400000000005</v>
      </c>
      <c r="J10" s="303">
        <v>68.536799999999999</v>
      </c>
      <c r="K10" s="303">
        <v>95.486400000000003</v>
      </c>
      <c r="L10" s="303">
        <v>82.3536</v>
      </c>
      <c r="M10" s="235">
        <v>89.853947368421061</v>
      </c>
      <c r="N10" s="235">
        <v>96.063157894736861</v>
      </c>
      <c r="O10" s="235">
        <v>102.83684210526316</v>
      </c>
      <c r="P10" s="235">
        <v>143.27368421052634</v>
      </c>
      <c r="Q10" s="236">
        <v>123.56842105263161</v>
      </c>
      <c r="R10" s="234">
        <f t="shared" si="3"/>
        <v>68.289000000000001</v>
      </c>
      <c r="S10" s="235">
        <f t="shared" si="3"/>
        <v>73.00800000000001</v>
      </c>
      <c r="T10" s="235">
        <f t="shared" si="3"/>
        <v>78.156000000000006</v>
      </c>
      <c r="U10" s="235">
        <f t="shared" si="3"/>
        <v>108.88800000000002</v>
      </c>
      <c r="V10" s="235">
        <f t="shared" si="3"/>
        <v>93.91200000000002</v>
      </c>
      <c r="W10" s="299">
        <f t="shared" si="4"/>
        <v>60.094320000000003</v>
      </c>
      <c r="X10" s="291">
        <f t="shared" si="5"/>
        <v>64.247040000000013</v>
      </c>
      <c r="Y10" s="291">
        <f t="shared" si="6"/>
        <v>68.777280000000005</v>
      </c>
      <c r="Z10" s="291">
        <f t="shared" si="7"/>
        <v>95.821440000000024</v>
      </c>
      <c r="AA10" s="300">
        <f t="shared" si="8"/>
        <v>82.642560000000017</v>
      </c>
      <c r="AB10" s="294"/>
      <c r="AC10" s="291"/>
      <c r="AD10" s="291">
        <v>68.69</v>
      </c>
      <c r="AE10" s="291"/>
      <c r="AF10" s="291"/>
      <c r="AI10" s="338">
        <v>105.06</v>
      </c>
      <c r="AJ10" s="338">
        <v>112.32000000000002</v>
      </c>
      <c r="AK10" s="338">
        <v>120.24000000000001</v>
      </c>
      <c r="AL10" s="338">
        <v>167.52</v>
      </c>
      <c r="AM10" s="338">
        <v>144.48000000000002</v>
      </c>
      <c r="AN10" s="339">
        <f t="shared" si="9"/>
        <v>68.289000000000001</v>
      </c>
      <c r="AO10" s="339">
        <f t="shared" si="10"/>
        <v>73.00800000000001</v>
      </c>
      <c r="AP10" s="339">
        <f t="shared" si="11"/>
        <v>78.156000000000006</v>
      </c>
      <c r="AQ10" s="339">
        <f t="shared" si="12"/>
        <v>108.88800000000001</v>
      </c>
      <c r="AR10" s="339">
        <f t="shared" si="13"/>
        <v>93.91200000000002</v>
      </c>
      <c r="AS10" s="338">
        <f t="shared" si="14"/>
        <v>63.036000000000001</v>
      </c>
      <c r="AT10" s="338">
        <f t="shared" si="15"/>
        <v>67.39200000000001</v>
      </c>
      <c r="AU10" s="338">
        <f t="shared" si="16"/>
        <v>72.144000000000005</v>
      </c>
      <c r="AV10" s="338">
        <f t="shared" si="17"/>
        <v>100.512</v>
      </c>
      <c r="AW10" s="338">
        <f t="shared" si="18"/>
        <v>86.688000000000002</v>
      </c>
      <c r="AY10" s="338">
        <f t="shared" si="19"/>
        <v>76.320000000000007</v>
      </c>
      <c r="AZ10" s="338">
        <f t="shared" si="0"/>
        <v>81.612000000000009</v>
      </c>
      <c r="BA10" s="338">
        <f t="shared" si="0"/>
        <v>87.372</v>
      </c>
      <c r="BB10" s="338">
        <f t="shared" si="0"/>
        <v>121.71599999999997</v>
      </c>
      <c r="BC10" s="338">
        <f t="shared" si="0"/>
        <v>104.94</v>
      </c>
      <c r="BD10" s="339">
        <f t="shared" si="20"/>
        <v>82.68</v>
      </c>
      <c r="BE10" s="339">
        <f t="shared" si="1"/>
        <v>88.413000000000011</v>
      </c>
      <c r="BF10" s="339">
        <f t="shared" si="1"/>
        <v>94.653000000000006</v>
      </c>
      <c r="BG10" s="339">
        <f t="shared" si="1"/>
        <v>131.85899999999998</v>
      </c>
      <c r="BH10" s="339">
        <f t="shared" si="1"/>
        <v>113.685</v>
      </c>
      <c r="BI10" s="369">
        <f t="shared" si="21"/>
        <v>78.609600000000015</v>
      </c>
      <c r="BJ10" s="369">
        <f t="shared" si="2"/>
        <v>84.060360000000017</v>
      </c>
      <c r="BK10" s="369">
        <f t="shared" si="2"/>
        <v>89.993160000000003</v>
      </c>
      <c r="BL10" s="369">
        <f t="shared" si="2"/>
        <v>125.36747999999997</v>
      </c>
      <c r="BM10" s="369">
        <f t="shared" si="2"/>
        <v>108.0882</v>
      </c>
    </row>
    <row r="11" spans="1:66" ht="20.25" customHeight="1" thickTop="1" thickBot="1">
      <c r="A11" s="326" t="s">
        <v>522</v>
      </c>
      <c r="B11" s="327" t="s">
        <v>518</v>
      </c>
      <c r="C11" s="440">
        <v>292.32</v>
      </c>
      <c r="D11" s="441">
        <v>316.85999999999996</v>
      </c>
      <c r="E11" s="440">
        <v>340.85999999999996</v>
      </c>
      <c r="F11" s="440">
        <v>505.92000000000007</v>
      </c>
      <c r="G11" s="442">
        <v>389.40000000000003</v>
      </c>
      <c r="H11" s="303">
        <v>137.655</v>
      </c>
      <c r="I11" s="303">
        <v>149.24880000000002</v>
      </c>
      <c r="J11" s="303">
        <v>160.50059999999996</v>
      </c>
      <c r="K11" s="303">
        <v>238.27139999999997</v>
      </c>
      <c r="L11" s="303">
        <v>183.38039999999998</v>
      </c>
      <c r="M11" s="235">
        <v>206.54605263157896</v>
      </c>
      <c r="N11" s="235">
        <v>223.94210526315791</v>
      </c>
      <c r="O11" s="235">
        <v>240.82499999999996</v>
      </c>
      <c r="P11" s="235">
        <v>357.51710526315793</v>
      </c>
      <c r="Q11" s="236">
        <v>275.15526315789475</v>
      </c>
      <c r="R11" s="234">
        <f t="shared" si="3"/>
        <v>156.97500000000002</v>
      </c>
      <c r="S11" s="235">
        <f t="shared" si="3"/>
        <v>170.19600000000003</v>
      </c>
      <c r="T11" s="235">
        <f t="shared" si="3"/>
        <v>183.02699999999996</v>
      </c>
      <c r="U11" s="235">
        <f t="shared" si="3"/>
        <v>271.71300000000002</v>
      </c>
      <c r="V11" s="235">
        <f t="shared" si="3"/>
        <v>209.11800000000002</v>
      </c>
      <c r="W11" s="299">
        <f t="shared" si="4"/>
        <v>138.13800000000003</v>
      </c>
      <c r="X11" s="291">
        <f t="shared" si="5"/>
        <v>149.77248000000003</v>
      </c>
      <c r="Y11" s="291">
        <f t="shared" si="6"/>
        <v>161.06375999999997</v>
      </c>
      <c r="Z11" s="291">
        <f t="shared" si="7"/>
        <v>239.10744000000003</v>
      </c>
      <c r="AA11" s="300">
        <f t="shared" si="8"/>
        <v>184.02384000000004</v>
      </c>
      <c r="AB11" s="294"/>
      <c r="AC11" s="291"/>
      <c r="AD11" s="291">
        <v>160.56</v>
      </c>
      <c r="AE11" s="291"/>
      <c r="AF11" s="291"/>
      <c r="AI11" s="338">
        <v>241.5</v>
      </c>
      <c r="AJ11" s="338">
        <v>261.84000000000003</v>
      </c>
      <c r="AK11" s="338">
        <v>281.58</v>
      </c>
      <c r="AL11" s="338">
        <v>418.02</v>
      </c>
      <c r="AM11" s="338">
        <v>321.71999999999997</v>
      </c>
      <c r="AN11" s="339">
        <f t="shared" si="9"/>
        <v>156.97499999999999</v>
      </c>
      <c r="AO11" s="339">
        <f t="shared" si="10"/>
        <v>170.19600000000003</v>
      </c>
      <c r="AP11" s="339">
        <f t="shared" si="11"/>
        <v>183.02699999999999</v>
      </c>
      <c r="AQ11" s="339">
        <f t="shared" si="12"/>
        <v>271.71300000000002</v>
      </c>
      <c r="AR11" s="339">
        <f t="shared" si="13"/>
        <v>209.11799999999999</v>
      </c>
      <c r="AS11" s="338">
        <f t="shared" si="14"/>
        <v>144.9</v>
      </c>
      <c r="AT11" s="338">
        <f t="shared" si="15"/>
        <v>157.10400000000001</v>
      </c>
      <c r="AU11" s="338">
        <f t="shared" si="16"/>
        <v>168.94799999999998</v>
      </c>
      <c r="AV11" s="338">
        <f t="shared" si="17"/>
        <v>250.81199999999998</v>
      </c>
      <c r="AW11" s="338">
        <f t="shared" si="18"/>
        <v>193.03199999999998</v>
      </c>
      <c r="AY11" s="338">
        <f t="shared" si="19"/>
        <v>175.392</v>
      </c>
      <c r="AZ11" s="338">
        <f t="shared" si="0"/>
        <v>190.11599999999996</v>
      </c>
      <c r="BA11" s="338">
        <f t="shared" si="0"/>
        <v>204.51599999999996</v>
      </c>
      <c r="BB11" s="338">
        <f t="shared" si="0"/>
        <v>303.55200000000002</v>
      </c>
      <c r="BC11" s="338">
        <f t="shared" si="0"/>
        <v>233.64000000000001</v>
      </c>
      <c r="BD11" s="339">
        <f t="shared" si="20"/>
        <v>190.00800000000001</v>
      </c>
      <c r="BE11" s="339">
        <f t="shared" si="1"/>
        <v>205.95899999999997</v>
      </c>
      <c r="BF11" s="339">
        <f t="shared" si="1"/>
        <v>221.55899999999997</v>
      </c>
      <c r="BG11" s="339">
        <f t="shared" si="1"/>
        <v>328.84800000000007</v>
      </c>
      <c r="BH11" s="339">
        <f t="shared" si="1"/>
        <v>253.11000000000004</v>
      </c>
      <c r="BI11" s="369">
        <f t="shared" si="21"/>
        <v>180.65376000000001</v>
      </c>
      <c r="BJ11" s="369">
        <f t="shared" si="2"/>
        <v>195.81947999999997</v>
      </c>
      <c r="BK11" s="369">
        <f t="shared" si="2"/>
        <v>210.65147999999996</v>
      </c>
      <c r="BL11" s="369">
        <f t="shared" si="2"/>
        <v>312.65856000000002</v>
      </c>
      <c r="BM11" s="369">
        <f t="shared" si="2"/>
        <v>240.64920000000001</v>
      </c>
    </row>
    <row r="12" spans="1:66" ht="20.25" customHeight="1" thickTop="1" thickBot="1">
      <c r="A12" s="328" t="s">
        <v>523</v>
      </c>
      <c r="B12" s="329" t="s">
        <v>518</v>
      </c>
      <c r="C12" s="446">
        <v>39.179999999999993</v>
      </c>
      <c r="D12" s="447">
        <v>45.480000000000004</v>
      </c>
      <c r="E12" s="446">
        <v>44.7</v>
      </c>
      <c r="F12" s="446">
        <v>63.42</v>
      </c>
      <c r="G12" s="448">
        <v>59.099999999999994</v>
      </c>
      <c r="H12" s="303">
        <v>18.433799999999998</v>
      </c>
      <c r="I12" s="303">
        <v>21.374999999999996</v>
      </c>
      <c r="J12" s="303">
        <v>23.358599999999999</v>
      </c>
      <c r="K12" s="303">
        <v>29.822400000000002</v>
      </c>
      <c r="L12" s="303">
        <v>27.804599999999994</v>
      </c>
      <c r="M12" s="235">
        <v>27.659210526315789</v>
      </c>
      <c r="N12" s="235">
        <v>32.07236842105263</v>
      </c>
      <c r="O12" s="235">
        <v>35.048684210526318</v>
      </c>
      <c r="P12" s="235">
        <v>44.747368421052634</v>
      </c>
      <c r="Q12" s="236">
        <v>41.719736842105263</v>
      </c>
      <c r="R12" s="234">
        <f t="shared" si="3"/>
        <v>21.021000000000001</v>
      </c>
      <c r="S12" s="235">
        <f t="shared" si="3"/>
        <v>24.375</v>
      </c>
      <c r="T12" s="235">
        <f t="shared" si="3"/>
        <v>26.637</v>
      </c>
      <c r="U12" s="235">
        <f t="shared" si="3"/>
        <v>34.008000000000003</v>
      </c>
      <c r="V12" s="235">
        <f t="shared" si="3"/>
        <v>31.707000000000001</v>
      </c>
      <c r="W12" s="299">
        <f t="shared" si="4"/>
        <v>18.498480000000001</v>
      </c>
      <c r="X12" s="291">
        <f t="shared" si="5"/>
        <v>21.45</v>
      </c>
      <c r="Y12" s="291">
        <f t="shared" si="6"/>
        <v>23.440560000000001</v>
      </c>
      <c r="Z12" s="291">
        <f t="shared" si="7"/>
        <v>29.927040000000002</v>
      </c>
      <c r="AA12" s="300">
        <f t="shared" si="8"/>
        <v>27.902160000000002</v>
      </c>
      <c r="AB12" s="294"/>
      <c r="AC12" s="291"/>
      <c r="AD12" s="291">
        <v>23.4</v>
      </c>
      <c r="AE12" s="291"/>
      <c r="AF12" s="291">
        <v>28.09</v>
      </c>
      <c r="AI12" s="338">
        <v>32.339999999999996</v>
      </c>
      <c r="AJ12" s="338">
        <v>37.5</v>
      </c>
      <c r="AK12" s="338">
        <v>40.980000000000004</v>
      </c>
      <c r="AL12" s="338">
        <v>52.320000000000007</v>
      </c>
      <c r="AM12" s="338">
        <v>48.779999999999994</v>
      </c>
      <c r="AN12" s="339">
        <f t="shared" si="9"/>
        <v>21.020999999999997</v>
      </c>
      <c r="AO12" s="339">
        <f t="shared" si="10"/>
        <v>24.375</v>
      </c>
      <c r="AP12" s="339">
        <f t="shared" si="11"/>
        <v>26.637000000000004</v>
      </c>
      <c r="AQ12" s="339">
        <f t="shared" si="12"/>
        <v>34.008000000000003</v>
      </c>
      <c r="AR12" s="339">
        <f t="shared" si="13"/>
        <v>31.706999999999997</v>
      </c>
      <c r="AS12" s="338">
        <f t="shared" si="14"/>
        <v>19.403999999999996</v>
      </c>
      <c r="AT12" s="338">
        <f t="shared" si="15"/>
        <v>22.5</v>
      </c>
      <c r="AU12" s="338">
        <f t="shared" si="16"/>
        <v>24.588000000000001</v>
      </c>
      <c r="AV12" s="338">
        <f t="shared" si="17"/>
        <v>31.392000000000003</v>
      </c>
      <c r="AW12" s="338">
        <f t="shared" si="18"/>
        <v>29.267999999999994</v>
      </c>
      <c r="AY12" s="338">
        <f t="shared" si="19"/>
        <v>23.507999999999996</v>
      </c>
      <c r="AZ12" s="338">
        <f t="shared" si="0"/>
        <v>27.288</v>
      </c>
      <c r="BA12" s="338">
        <f t="shared" si="0"/>
        <v>26.82</v>
      </c>
      <c r="BB12" s="338">
        <f t="shared" si="0"/>
        <v>38.052</v>
      </c>
      <c r="BC12" s="338">
        <f t="shared" si="0"/>
        <v>35.459999999999994</v>
      </c>
      <c r="BD12" s="339">
        <f t="shared" si="20"/>
        <v>25.466999999999995</v>
      </c>
      <c r="BE12" s="339">
        <f t="shared" si="1"/>
        <v>29.562000000000005</v>
      </c>
      <c r="BF12" s="339">
        <f t="shared" si="1"/>
        <v>29.055000000000003</v>
      </c>
      <c r="BG12" s="339">
        <f t="shared" si="1"/>
        <v>41.222999999999999</v>
      </c>
      <c r="BH12" s="339">
        <f t="shared" si="1"/>
        <v>38.414999999999999</v>
      </c>
      <c r="BI12" s="369">
        <f t="shared" si="21"/>
        <v>24.213239999999995</v>
      </c>
      <c r="BJ12" s="369">
        <f t="shared" si="2"/>
        <v>28.106640000000002</v>
      </c>
      <c r="BK12" s="369">
        <f t="shared" si="2"/>
        <v>27.624600000000001</v>
      </c>
      <c r="BL12" s="369">
        <f t="shared" si="2"/>
        <v>39.193559999999998</v>
      </c>
      <c r="BM12" s="369">
        <f t="shared" si="2"/>
        <v>36.523799999999994</v>
      </c>
    </row>
    <row r="13" spans="1:66" ht="20.25" customHeight="1" thickTop="1" thickBot="1">
      <c r="A13" s="326" t="s">
        <v>524</v>
      </c>
      <c r="B13" s="327" t="s">
        <v>518</v>
      </c>
      <c r="C13" s="440">
        <v>50.64</v>
      </c>
      <c r="D13" s="441">
        <v>60.779999999999994</v>
      </c>
      <c r="E13" s="440">
        <v>66.66</v>
      </c>
      <c r="F13" s="440" t="s">
        <v>23</v>
      </c>
      <c r="G13" s="442">
        <v>81.06</v>
      </c>
      <c r="H13" s="303">
        <v>23.837399999999999</v>
      </c>
      <c r="I13" s="303">
        <v>28.591199999999997</v>
      </c>
      <c r="J13" s="303">
        <v>31.327199999999998</v>
      </c>
      <c r="K13" s="303"/>
      <c r="L13" s="303">
        <v>38.167200000000001</v>
      </c>
      <c r="M13" s="235">
        <v>35.767105263157895</v>
      </c>
      <c r="N13" s="235">
        <v>42.9</v>
      </c>
      <c r="O13" s="235">
        <v>47.005263157894746</v>
      </c>
      <c r="P13" s="235">
        <v>0</v>
      </c>
      <c r="Q13" s="236">
        <v>57.268421052631588</v>
      </c>
      <c r="R13" s="234">
        <f t="shared" si="3"/>
        <v>27.183</v>
      </c>
      <c r="S13" s="235">
        <f t="shared" si="3"/>
        <v>32.603999999999999</v>
      </c>
      <c r="T13" s="235">
        <f t="shared" si="3"/>
        <v>35.724000000000004</v>
      </c>
      <c r="U13" s="235">
        <f t="shared" si="3"/>
        <v>0</v>
      </c>
      <c r="V13" s="235">
        <f t="shared" si="3"/>
        <v>43.524000000000008</v>
      </c>
      <c r="W13" s="299">
        <f t="shared" si="4"/>
        <v>23.921040000000001</v>
      </c>
      <c r="X13" s="291">
        <f t="shared" si="5"/>
        <v>28.691520000000001</v>
      </c>
      <c r="Y13" s="291">
        <f t="shared" si="6"/>
        <v>31.437120000000004</v>
      </c>
      <c r="Z13" s="291">
        <f t="shared" si="7"/>
        <v>0</v>
      </c>
      <c r="AA13" s="300">
        <f t="shared" si="8"/>
        <v>38.301120000000004</v>
      </c>
      <c r="AB13" s="294"/>
      <c r="AC13" s="291"/>
      <c r="AD13" s="291">
        <v>31.38</v>
      </c>
      <c r="AE13" s="291"/>
      <c r="AF13" s="291"/>
      <c r="AI13" s="338">
        <v>41.82</v>
      </c>
      <c r="AJ13" s="338">
        <v>50.16</v>
      </c>
      <c r="AK13" s="338">
        <v>54.96</v>
      </c>
      <c r="AL13" s="340" t="s">
        <v>23</v>
      </c>
      <c r="AM13" s="338">
        <v>66.960000000000008</v>
      </c>
      <c r="AN13" s="339">
        <f t="shared" si="9"/>
        <v>27.183</v>
      </c>
      <c r="AO13" s="339">
        <f t="shared" si="10"/>
        <v>32.603999999999999</v>
      </c>
      <c r="AP13" s="339">
        <f t="shared" si="11"/>
        <v>35.724000000000004</v>
      </c>
      <c r="AQ13" s="339">
        <v>0</v>
      </c>
      <c r="AR13" s="339">
        <f t="shared" si="13"/>
        <v>43.524000000000008</v>
      </c>
      <c r="AS13" s="338">
        <f t="shared" si="14"/>
        <v>25.091999999999999</v>
      </c>
      <c r="AT13" s="338">
        <f t="shared" si="15"/>
        <v>30.095999999999997</v>
      </c>
      <c r="AU13" s="338">
        <f t="shared" si="16"/>
        <v>32.975999999999999</v>
      </c>
      <c r="AV13" s="338"/>
      <c r="AW13" s="338">
        <f t="shared" si="18"/>
        <v>40.176000000000002</v>
      </c>
      <c r="AY13" s="338">
        <f t="shared" si="19"/>
        <v>30.384</v>
      </c>
      <c r="AZ13" s="338">
        <f t="shared" si="0"/>
        <v>36.467999999999996</v>
      </c>
      <c r="BA13" s="338">
        <f t="shared" si="0"/>
        <v>39.995999999999995</v>
      </c>
      <c r="BB13" s="338" t="e">
        <f t="shared" si="0"/>
        <v>#VALUE!</v>
      </c>
      <c r="BC13" s="338">
        <f t="shared" si="0"/>
        <v>48.636000000000003</v>
      </c>
      <c r="BD13" s="339">
        <f t="shared" si="20"/>
        <v>32.916000000000004</v>
      </c>
      <c r="BE13" s="339">
        <f t="shared" si="1"/>
        <v>39.506999999999998</v>
      </c>
      <c r="BF13" s="339">
        <f t="shared" si="1"/>
        <v>43.329000000000001</v>
      </c>
      <c r="BG13" s="339" t="e">
        <f t="shared" si="1"/>
        <v>#VALUE!</v>
      </c>
      <c r="BH13" s="339">
        <f t="shared" si="1"/>
        <v>52.689</v>
      </c>
      <c r="BI13" s="369">
        <f t="shared" si="21"/>
        <v>31.29552</v>
      </c>
      <c r="BJ13" s="369">
        <f t="shared" si="2"/>
        <v>37.562039999999996</v>
      </c>
      <c r="BK13" s="369">
        <f t="shared" si="2"/>
        <v>41.195879999999995</v>
      </c>
      <c r="BL13" s="369" t="e">
        <f t="shared" si="2"/>
        <v>#VALUE!</v>
      </c>
      <c r="BM13" s="369">
        <f t="shared" si="2"/>
        <v>50.095080000000003</v>
      </c>
    </row>
    <row r="14" spans="1:66" ht="20.25" customHeight="1" thickTop="1" thickBot="1">
      <c r="A14" s="328" t="s">
        <v>525</v>
      </c>
      <c r="B14" s="329" t="s">
        <v>518</v>
      </c>
      <c r="C14" s="446">
        <v>54</v>
      </c>
      <c r="D14" s="447">
        <v>65.400000000000006</v>
      </c>
      <c r="E14" s="446">
        <v>69.42</v>
      </c>
      <c r="F14" s="446" t="s">
        <v>23</v>
      </c>
      <c r="G14" s="448">
        <v>83.820000000000007</v>
      </c>
      <c r="H14" s="303">
        <v>25.410599999999995</v>
      </c>
      <c r="I14" s="303">
        <v>30.745799999999996</v>
      </c>
      <c r="J14" s="303">
        <v>32.660999999999994</v>
      </c>
      <c r="K14" s="303"/>
      <c r="L14" s="303">
        <v>39.432599999999994</v>
      </c>
      <c r="M14" s="235">
        <v>38.127631578947366</v>
      </c>
      <c r="N14" s="235">
        <v>46.132894736842104</v>
      </c>
      <c r="O14" s="235">
        <v>49.006578947368418</v>
      </c>
      <c r="P14" s="235">
        <v>0</v>
      </c>
      <c r="Q14" s="236">
        <v>59.167105263157893</v>
      </c>
      <c r="R14" s="234">
        <f t="shared" si="3"/>
        <v>28.976999999999997</v>
      </c>
      <c r="S14" s="235">
        <f t="shared" si="3"/>
        <v>35.061</v>
      </c>
      <c r="T14" s="235">
        <f t="shared" si="3"/>
        <v>37.244999999999997</v>
      </c>
      <c r="U14" s="235">
        <f t="shared" si="3"/>
        <v>0</v>
      </c>
      <c r="V14" s="235">
        <f t="shared" si="3"/>
        <v>44.966999999999999</v>
      </c>
      <c r="W14" s="299">
        <f t="shared" si="4"/>
        <v>25.499759999999998</v>
      </c>
      <c r="X14" s="291">
        <f t="shared" si="5"/>
        <v>30.853680000000001</v>
      </c>
      <c r="Y14" s="291">
        <f t="shared" si="6"/>
        <v>32.775599999999997</v>
      </c>
      <c r="Z14" s="291">
        <f t="shared" si="7"/>
        <v>0</v>
      </c>
      <c r="AA14" s="300">
        <f t="shared" si="8"/>
        <v>39.570959999999999</v>
      </c>
      <c r="AB14" s="294"/>
      <c r="AC14" s="291"/>
      <c r="AD14" s="291">
        <v>32.700000000000003</v>
      </c>
      <c r="AE14" s="291"/>
      <c r="AF14" s="291"/>
      <c r="AI14" s="338">
        <v>44.58</v>
      </c>
      <c r="AJ14" s="338">
        <v>53.94</v>
      </c>
      <c r="AK14" s="338">
        <v>57.3</v>
      </c>
      <c r="AL14" s="340" t="s">
        <v>23</v>
      </c>
      <c r="AM14" s="338">
        <v>69.179999999999993</v>
      </c>
      <c r="AN14" s="339">
        <f t="shared" si="9"/>
        <v>28.977</v>
      </c>
      <c r="AO14" s="339">
        <f t="shared" si="10"/>
        <v>35.061</v>
      </c>
      <c r="AP14" s="339">
        <f t="shared" si="11"/>
        <v>37.244999999999997</v>
      </c>
      <c r="AQ14" s="339">
        <v>0</v>
      </c>
      <c r="AR14" s="339">
        <f t="shared" si="13"/>
        <v>44.966999999999999</v>
      </c>
      <c r="AS14" s="338">
        <f t="shared" si="14"/>
        <v>26.747999999999998</v>
      </c>
      <c r="AT14" s="338">
        <f t="shared" si="15"/>
        <v>32.363999999999997</v>
      </c>
      <c r="AU14" s="338">
        <f t="shared" si="16"/>
        <v>34.379999999999995</v>
      </c>
      <c r="AV14" s="338"/>
      <c r="AW14" s="338">
        <f t="shared" si="18"/>
        <v>41.507999999999996</v>
      </c>
      <c r="AY14" s="338">
        <f t="shared" si="19"/>
        <v>32.4</v>
      </c>
      <c r="AZ14" s="338">
        <f t="shared" si="0"/>
        <v>39.24</v>
      </c>
      <c r="BA14" s="338">
        <f t="shared" si="0"/>
        <v>41.652000000000001</v>
      </c>
      <c r="BB14" s="338" t="e">
        <f t="shared" si="0"/>
        <v>#VALUE!</v>
      </c>
      <c r="BC14" s="338">
        <f t="shared" si="0"/>
        <v>50.292000000000002</v>
      </c>
      <c r="BD14" s="339">
        <f t="shared" si="20"/>
        <v>35.1</v>
      </c>
      <c r="BE14" s="339">
        <f t="shared" si="1"/>
        <v>42.510000000000005</v>
      </c>
      <c r="BF14" s="339">
        <f t="shared" si="1"/>
        <v>45.123000000000005</v>
      </c>
      <c r="BG14" s="339" t="e">
        <f t="shared" si="1"/>
        <v>#VALUE!</v>
      </c>
      <c r="BH14" s="339">
        <f t="shared" si="1"/>
        <v>54.483000000000004</v>
      </c>
      <c r="BI14" s="369">
        <f t="shared" si="21"/>
        <v>33.372</v>
      </c>
      <c r="BJ14" s="369">
        <f t="shared" si="2"/>
        <v>40.417200000000001</v>
      </c>
      <c r="BK14" s="369">
        <f t="shared" si="2"/>
        <v>42.901560000000003</v>
      </c>
      <c r="BL14" s="369" t="e">
        <f t="shared" si="2"/>
        <v>#VALUE!</v>
      </c>
      <c r="BM14" s="369">
        <f t="shared" si="2"/>
        <v>51.800760000000004</v>
      </c>
    </row>
    <row r="15" spans="1:66" ht="20.25" customHeight="1" thickTop="1" thickBot="1">
      <c r="A15" s="326" t="s">
        <v>526</v>
      </c>
      <c r="B15" s="327" t="s">
        <v>518</v>
      </c>
      <c r="C15" s="440">
        <v>39.179999999999993</v>
      </c>
      <c r="D15" s="441">
        <v>49.62</v>
      </c>
      <c r="E15" s="440">
        <v>59.099999999999994</v>
      </c>
      <c r="F15" s="440">
        <v>83.16</v>
      </c>
      <c r="G15" s="442">
        <v>74.58</v>
      </c>
      <c r="H15" s="303">
        <v>18.433799999999998</v>
      </c>
      <c r="I15" s="303">
        <v>23.358599999999999</v>
      </c>
      <c r="J15" s="303">
        <v>27.804599999999994</v>
      </c>
      <c r="K15" s="303">
        <v>39.1248</v>
      </c>
      <c r="L15" s="303">
        <v>35.055</v>
      </c>
      <c r="M15" s="235">
        <v>27.659210526315789</v>
      </c>
      <c r="N15" s="235">
        <v>35.048684210526318</v>
      </c>
      <c r="O15" s="235">
        <v>41.719736842105263</v>
      </c>
      <c r="P15" s="235">
        <v>58.705263157894741</v>
      </c>
      <c r="Q15" s="236">
        <v>52.598684210526315</v>
      </c>
      <c r="R15" s="234">
        <f t="shared" si="3"/>
        <v>21.021000000000001</v>
      </c>
      <c r="S15" s="235">
        <f t="shared" si="3"/>
        <v>26.637</v>
      </c>
      <c r="T15" s="235">
        <f t="shared" si="3"/>
        <v>31.707000000000001</v>
      </c>
      <c r="U15" s="235">
        <f t="shared" si="3"/>
        <v>44.616000000000007</v>
      </c>
      <c r="V15" s="235">
        <f t="shared" si="3"/>
        <v>39.975000000000001</v>
      </c>
      <c r="W15" s="299">
        <f t="shared" si="4"/>
        <v>18.498480000000001</v>
      </c>
      <c r="X15" s="291">
        <f t="shared" si="5"/>
        <v>23.440560000000001</v>
      </c>
      <c r="Y15" s="291">
        <f t="shared" si="6"/>
        <v>27.902160000000002</v>
      </c>
      <c r="Z15" s="291">
        <f t="shared" si="7"/>
        <v>39.262080000000005</v>
      </c>
      <c r="AA15" s="300">
        <f t="shared" si="8"/>
        <v>35.178000000000004</v>
      </c>
      <c r="AB15" s="294"/>
      <c r="AC15" s="291"/>
      <c r="AD15" s="291">
        <v>27.85</v>
      </c>
      <c r="AE15" s="291"/>
      <c r="AF15" s="291">
        <v>35.42</v>
      </c>
      <c r="AI15" s="338">
        <v>32.339999999999996</v>
      </c>
      <c r="AJ15" s="338">
        <v>40.980000000000004</v>
      </c>
      <c r="AK15" s="338">
        <v>48.779999999999994</v>
      </c>
      <c r="AL15" s="338">
        <v>68.64</v>
      </c>
      <c r="AM15" s="338">
        <v>61.5</v>
      </c>
      <c r="AN15" s="339">
        <f t="shared" si="9"/>
        <v>21.020999999999997</v>
      </c>
      <c r="AO15" s="339">
        <f t="shared" si="10"/>
        <v>26.637000000000004</v>
      </c>
      <c r="AP15" s="339">
        <f t="shared" si="11"/>
        <v>31.706999999999997</v>
      </c>
      <c r="AQ15" s="339">
        <f t="shared" si="12"/>
        <v>44.616</v>
      </c>
      <c r="AR15" s="339">
        <f t="shared" si="13"/>
        <v>39.975000000000001</v>
      </c>
      <c r="AS15" s="338">
        <f t="shared" si="14"/>
        <v>19.403999999999996</v>
      </c>
      <c r="AT15" s="338">
        <f t="shared" si="15"/>
        <v>24.588000000000001</v>
      </c>
      <c r="AU15" s="338">
        <f t="shared" si="16"/>
        <v>29.267999999999994</v>
      </c>
      <c r="AV15" s="338">
        <f t="shared" si="17"/>
        <v>41.183999999999997</v>
      </c>
      <c r="AW15" s="338">
        <f t="shared" si="18"/>
        <v>36.9</v>
      </c>
      <c r="AY15" s="338">
        <f t="shared" si="19"/>
        <v>23.507999999999996</v>
      </c>
      <c r="AZ15" s="338">
        <f t="shared" si="0"/>
        <v>29.771999999999998</v>
      </c>
      <c r="BA15" s="338">
        <f t="shared" si="0"/>
        <v>35.459999999999994</v>
      </c>
      <c r="BB15" s="338">
        <f t="shared" si="0"/>
        <v>49.895999999999994</v>
      </c>
      <c r="BC15" s="338">
        <f t="shared" si="0"/>
        <v>44.747999999999998</v>
      </c>
      <c r="BD15" s="339">
        <f t="shared" si="20"/>
        <v>25.466999999999995</v>
      </c>
      <c r="BE15" s="339">
        <f t="shared" si="1"/>
        <v>32.253</v>
      </c>
      <c r="BF15" s="339">
        <f t="shared" si="1"/>
        <v>38.414999999999999</v>
      </c>
      <c r="BG15" s="339">
        <f t="shared" si="1"/>
        <v>54.054000000000002</v>
      </c>
      <c r="BH15" s="339">
        <f t="shared" si="1"/>
        <v>48.477000000000004</v>
      </c>
      <c r="BI15" s="369">
        <f t="shared" si="21"/>
        <v>24.213239999999995</v>
      </c>
      <c r="BJ15" s="369">
        <f t="shared" si="2"/>
        <v>30.66516</v>
      </c>
      <c r="BK15" s="369">
        <f t="shared" si="2"/>
        <v>36.523799999999994</v>
      </c>
      <c r="BL15" s="369">
        <f t="shared" si="2"/>
        <v>51.392879999999998</v>
      </c>
      <c r="BM15" s="369">
        <f t="shared" si="2"/>
        <v>46.090440000000001</v>
      </c>
    </row>
    <row r="16" spans="1:66" ht="20.25" customHeight="1" thickTop="1" thickBot="1">
      <c r="A16" s="328" t="s">
        <v>527</v>
      </c>
      <c r="B16" s="329" t="s">
        <v>518</v>
      </c>
      <c r="C16" s="446">
        <v>260.34000000000003</v>
      </c>
      <c r="D16" s="779">
        <v>288.72000000000003</v>
      </c>
      <c r="E16" s="779"/>
      <c r="F16" s="446">
        <v>448.1400000000001</v>
      </c>
      <c r="G16" s="448">
        <v>393.48</v>
      </c>
      <c r="H16" s="303">
        <v>122.607</v>
      </c>
      <c r="I16" s="753">
        <v>151.09559999999999</v>
      </c>
      <c r="J16" s="755"/>
      <c r="K16" s="303">
        <v>211.08239999999998</v>
      </c>
      <c r="L16" s="303">
        <v>185.36399999999998</v>
      </c>
      <c r="M16" s="235">
        <v>183.96710526315792</v>
      </c>
      <c r="N16" s="771">
        <v>226.71315789473684</v>
      </c>
      <c r="O16" s="771"/>
      <c r="P16" s="235">
        <v>316.72105263157891</v>
      </c>
      <c r="Q16" s="236">
        <v>278.13157894736844</v>
      </c>
      <c r="R16" s="234">
        <f t="shared" si="3"/>
        <v>139.81500000000003</v>
      </c>
      <c r="S16" s="771">
        <f t="shared" si="3"/>
        <v>172.30199999999999</v>
      </c>
      <c r="T16" s="771"/>
      <c r="U16" s="235">
        <f t="shared" si="3"/>
        <v>240.70799999999997</v>
      </c>
      <c r="V16" s="235">
        <f t="shared" si="3"/>
        <v>211.38000000000002</v>
      </c>
      <c r="W16" s="299">
        <f t="shared" si="4"/>
        <v>123.03720000000003</v>
      </c>
      <c r="X16" s="772">
        <f t="shared" ref="X16" si="22">SUM(S16*0.88)</f>
        <v>151.62575999999999</v>
      </c>
      <c r="Y16" s="772"/>
      <c r="Z16" s="291">
        <f t="shared" si="7"/>
        <v>211.82303999999996</v>
      </c>
      <c r="AA16" s="300">
        <f t="shared" si="8"/>
        <v>186.01440000000002</v>
      </c>
      <c r="AB16" s="294"/>
      <c r="AC16" s="772">
        <v>151.22999999999999</v>
      </c>
      <c r="AD16" s="772"/>
      <c r="AE16" s="291"/>
      <c r="AF16" s="291">
        <v>187.07</v>
      </c>
      <c r="AI16" s="338">
        <v>215.10000000000002</v>
      </c>
      <c r="AJ16" s="744">
        <v>265.08</v>
      </c>
      <c r="AK16" s="745"/>
      <c r="AL16" s="338">
        <v>370.32</v>
      </c>
      <c r="AM16" s="338">
        <v>325.2</v>
      </c>
      <c r="AN16" s="339">
        <f t="shared" si="9"/>
        <v>139.81500000000003</v>
      </c>
      <c r="AO16" s="746">
        <f t="shared" ref="AO16" si="23">SUM(AJ16*0.65)</f>
        <v>172.30199999999999</v>
      </c>
      <c r="AP16" s="747"/>
      <c r="AQ16" s="339">
        <f t="shared" si="12"/>
        <v>240.708</v>
      </c>
      <c r="AR16" s="339">
        <f t="shared" si="13"/>
        <v>211.38</v>
      </c>
      <c r="AS16" s="338">
        <f t="shared" si="14"/>
        <v>129.06</v>
      </c>
      <c r="AT16" s="744">
        <f t="shared" ref="AT16" si="24">SUM(AJ16*0.6)</f>
        <v>159.04799999999997</v>
      </c>
      <c r="AU16" s="745"/>
      <c r="AV16" s="338">
        <f t="shared" si="17"/>
        <v>222.19199999999998</v>
      </c>
      <c r="AW16" s="338">
        <f t="shared" si="18"/>
        <v>195.11999999999998</v>
      </c>
      <c r="AY16" s="338">
        <f t="shared" si="19"/>
        <v>156.20400000000001</v>
      </c>
      <c r="AZ16" s="744">
        <f t="shared" ref="AZ16" si="25">SUM(D16*0.6)</f>
        <v>173.232</v>
      </c>
      <c r="BA16" s="745"/>
      <c r="BB16" s="338">
        <f t="shared" si="0"/>
        <v>268.88400000000007</v>
      </c>
      <c r="BC16" s="338">
        <f t="shared" si="0"/>
        <v>236.08799999999999</v>
      </c>
      <c r="BD16" s="339">
        <f t="shared" si="20"/>
        <v>169.22100000000003</v>
      </c>
      <c r="BE16" s="746">
        <f t="shared" ref="BE16" si="26">SUM(D16*0.65)</f>
        <v>187.66800000000003</v>
      </c>
      <c r="BF16" s="747"/>
      <c r="BG16" s="339">
        <f t="shared" si="1"/>
        <v>291.29100000000005</v>
      </c>
      <c r="BH16" s="339">
        <f t="shared" si="1"/>
        <v>255.76200000000003</v>
      </c>
      <c r="BI16" s="369">
        <f t="shared" si="21"/>
        <v>160.89012000000002</v>
      </c>
      <c r="BJ16" s="742">
        <f t="shared" ref="BJ16" si="27">SUM(AZ16*1.03)</f>
        <v>178.42896000000002</v>
      </c>
      <c r="BK16" s="742"/>
      <c r="BL16" s="369">
        <f t="shared" si="2"/>
        <v>276.9505200000001</v>
      </c>
      <c r="BM16" s="369">
        <f t="shared" si="2"/>
        <v>243.17063999999999</v>
      </c>
    </row>
    <row r="17" spans="1:65" ht="20.25" customHeight="1" thickTop="1" thickBot="1">
      <c r="A17" s="326" t="s">
        <v>528</v>
      </c>
      <c r="B17" s="327" t="s">
        <v>518</v>
      </c>
      <c r="C17" s="440">
        <v>68.58</v>
      </c>
      <c r="D17" s="776">
        <v>83.820000000000007</v>
      </c>
      <c r="E17" s="776"/>
      <c r="F17" s="443">
        <v>111.84</v>
      </c>
      <c r="G17" s="442">
        <v>103.62000000000002</v>
      </c>
      <c r="H17" s="303">
        <v>32.250599999999999</v>
      </c>
      <c r="I17" s="753">
        <v>39.432599999999994</v>
      </c>
      <c r="J17" s="755"/>
      <c r="K17" s="303">
        <v>52.633800000000001</v>
      </c>
      <c r="L17" s="303">
        <v>48.734999999999992</v>
      </c>
      <c r="M17" s="235">
        <v>48.390789473684215</v>
      </c>
      <c r="N17" s="771">
        <v>59.167105263157893</v>
      </c>
      <c r="O17" s="771"/>
      <c r="P17" s="235">
        <v>78.975000000000009</v>
      </c>
      <c r="Q17" s="236">
        <v>73.125</v>
      </c>
      <c r="R17" s="234">
        <f t="shared" si="3"/>
        <v>36.777000000000001</v>
      </c>
      <c r="S17" s="771">
        <f t="shared" si="3"/>
        <v>44.966999999999999</v>
      </c>
      <c r="T17" s="771"/>
      <c r="U17" s="235">
        <f t="shared" si="3"/>
        <v>60.021000000000008</v>
      </c>
      <c r="V17" s="235">
        <f t="shared" si="3"/>
        <v>55.575000000000003</v>
      </c>
      <c r="W17" s="299">
        <f t="shared" si="4"/>
        <v>32.363759999999999</v>
      </c>
      <c r="X17" s="772">
        <f t="shared" ref="X17:X20" si="28">SUM(S17*0.88)</f>
        <v>39.570959999999999</v>
      </c>
      <c r="Y17" s="772"/>
      <c r="Z17" s="291">
        <f t="shared" si="7"/>
        <v>52.818480000000008</v>
      </c>
      <c r="AA17" s="300">
        <f t="shared" si="8"/>
        <v>48.906000000000006</v>
      </c>
      <c r="AB17" s="294"/>
      <c r="AC17" s="772">
        <v>39.49</v>
      </c>
      <c r="AD17" s="772"/>
      <c r="AE17" s="291"/>
      <c r="AF17" s="291">
        <v>49.22</v>
      </c>
      <c r="AI17" s="338">
        <v>56.58</v>
      </c>
      <c r="AJ17" s="744">
        <v>69.179999999999993</v>
      </c>
      <c r="AK17" s="745"/>
      <c r="AL17" s="338">
        <v>92.34</v>
      </c>
      <c r="AM17" s="338">
        <v>85.5</v>
      </c>
      <c r="AN17" s="339">
        <f t="shared" si="9"/>
        <v>36.777000000000001</v>
      </c>
      <c r="AO17" s="746">
        <f t="shared" ref="AO17:AO20" si="29">SUM(AJ17*0.65)</f>
        <v>44.966999999999999</v>
      </c>
      <c r="AP17" s="747"/>
      <c r="AQ17" s="339">
        <f t="shared" si="12"/>
        <v>60.021000000000001</v>
      </c>
      <c r="AR17" s="339">
        <f t="shared" si="13"/>
        <v>55.575000000000003</v>
      </c>
      <c r="AS17" s="338">
        <f t="shared" si="14"/>
        <v>33.948</v>
      </c>
      <c r="AT17" s="744">
        <f t="shared" ref="AT17:AT20" si="30">SUM(AJ17*0.6)</f>
        <v>41.507999999999996</v>
      </c>
      <c r="AU17" s="745"/>
      <c r="AV17" s="338">
        <f t="shared" si="17"/>
        <v>55.404000000000003</v>
      </c>
      <c r="AW17" s="338">
        <f t="shared" si="18"/>
        <v>51.3</v>
      </c>
      <c r="AY17" s="338">
        <f t="shared" si="19"/>
        <v>41.147999999999996</v>
      </c>
      <c r="AZ17" s="744">
        <f t="shared" ref="AZ17:AZ20" si="31">SUM(D17*0.6)</f>
        <v>50.292000000000002</v>
      </c>
      <c r="BA17" s="745"/>
      <c r="BB17" s="338">
        <f t="shared" si="0"/>
        <v>67.103999999999999</v>
      </c>
      <c r="BC17" s="338">
        <f t="shared" si="0"/>
        <v>62.172000000000011</v>
      </c>
      <c r="BD17" s="339">
        <f t="shared" si="20"/>
        <v>44.576999999999998</v>
      </c>
      <c r="BE17" s="746">
        <f t="shared" ref="BE17:BE20" si="32">SUM(D17*0.65)</f>
        <v>54.483000000000004</v>
      </c>
      <c r="BF17" s="747"/>
      <c r="BG17" s="339">
        <f t="shared" si="1"/>
        <v>72.695999999999998</v>
      </c>
      <c r="BH17" s="339">
        <f t="shared" si="1"/>
        <v>67.353000000000009</v>
      </c>
      <c r="BI17" s="369">
        <f t="shared" si="21"/>
        <v>42.382439999999995</v>
      </c>
      <c r="BJ17" s="742">
        <f t="shared" ref="BJ17:BJ20" si="33">SUM(AZ17*1.03)</f>
        <v>51.800760000000004</v>
      </c>
      <c r="BK17" s="742"/>
      <c r="BL17" s="369">
        <f t="shared" si="2"/>
        <v>69.11712</v>
      </c>
      <c r="BM17" s="369">
        <f t="shared" si="2"/>
        <v>64.037160000000014</v>
      </c>
    </row>
    <row r="18" spans="1:65" ht="20.25" customHeight="1" thickTop="1" thickBot="1">
      <c r="A18" s="328" t="s">
        <v>529</v>
      </c>
      <c r="B18" s="329" t="s">
        <v>518</v>
      </c>
      <c r="C18" s="446">
        <v>87.72</v>
      </c>
      <c r="D18" s="775">
        <v>102.66000000000003</v>
      </c>
      <c r="E18" s="775"/>
      <c r="F18" s="449">
        <v>145.62</v>
      </c>
      <c r="G18" s="448">
        <v>123.18</v>
      </c>
      <c r="H18" s="303">
        <v>41.313600000000001</v>
      </c>
      <c r="I18" s="753">
        <v>48.324599999999997</v>
      </c>
      <c r="J18" s="755"/>
      <c r="K18" s="303">
        <v>68.536799999999999</v>
      </c>
      <c r="L18" s="303">
        <v>57.969000000000008</v>
      </c>
      <c r="M18" s="235">
        <v>61.989473684210523</v>
      </c>
      <c r="N18" s="771">
        <v>72.509210526315783</v>
      </c>
      <c r="O18" s="771"/>
      <c r="P18" s="235">
        <v>102.83684210526316</v>
      </c>
      <c r="Q18" s="236">
        <v>86.980263157894754</v>
      </c>
      <c r="R18" s="234">
        <f t="shared" si="3"/>
        <v>47.111999999999995</v>
      </c>
      <c r="S18" s="771">
        <f t="shared" si="3"/>
        <v>55.106999999999999</v>
      </c>
      <c r="T18" s="771"/>
      <c r="U18" s="235">
        <f t="shared" si="3"/>
        <v>78.156000000000006</v>
      </c>
      <c r="V18" s="235">
        <f t="shared" si="3"/>
        <v>66.105000000000018</v>
      </c>
      <c r="W18" s="299">
        <f t="shared" si="4"/>
        <v>41.458559999999999</v>
      </c>
      <c r="X18" s="772">
        <f t="shared" si="28"/>
        <v>48.494160000000001</v>
      </c>
      <c r="Y18" s="772"/>
      <c r="Z18" s="291">
        <f t="shared" si="7"/>
        <v>68.777280000000005</v>
      </c>
      <c r="AA18" s="300">
        <f t="shared" si="8"/>
        <v>58.172400000000017</v>
      </c>
      <c r="AB18" s="294"/>
      <c r="AC18" s="772">
        <v>48.42</v>
      </c>
      <c r="AD18" s="772"/>
      <c r="AE18" s="291"/>
      <c r="AF18" s="291">
        <v>58.54</v>
      </c>
      <c r="AI18" s="338">
        <v>72.48</v>
      </c>
      <c r="AJ18" s="744">
        <v>84.78</v>
      </c>
      <c r="AK18" s="745"/>
      <c r="AL18" s="338">
        <v>120.24000000000001</v>
      </c>
      <c r="AM18" s="338">
        <v>101.70000000000002</v>
      </c>
      <c r="AN18" s="339">
        <f t="shared" si="9"/>
        <v>47.112000000000002</v>
      </c>
      <c r="AO18" s="746">
        <f t="shared" si="29"/>
        <v>55.106999999999999</v>
      </c>
      <c r="AP18" s="747"/>
      <c r="AQ18" s="339">
        <f t="shared" si="12"/>
        <v>78.156000000000006</v>
      </c>
      <c r="AR18" s="339">
        <f t="shared" si="13"/>
        <v>66.105000000000018</v>
      </c>
      <c r="AS18" s="338">
        <f t="shared" si="14"/>
        <v>43.488</v>
      </c>
      <c r="AT18" s="744">
        <f t="shared" si="30"/>
        <v>50.868000000000002</v>
      </c>
      <c r="AU18" s="745"/>
      <c r="AV18" s="338">
        <f t="shared" si="17"/>
        <v>72.144000000000005</v>
      </c>
      <c r="AW18" s="338">
        <f t="shared" si="18"/>
        <v>61.02000000000001</v>
      </c>
      <c r="AY18" s="338">
        <f t="shared" si="19"/>
        <v>52.631999999999998</v>
      </c>
      <c r="AZ18" s="744">
        <f t="shared" si="31"/>
        <v>61.596000000000011</v>
      </c>
      <c r="BA18" s="745"/>
      <c r="BB18" s="338">
        <f t="shared" si="0"/>
        <v>87.372</v>
      </c>
      <c r="BC18" s="338">
        <f t="shared" si="0"/>
        <v>73.908000000000001</v>
      </c>
      <c r="BD18" s="339">
        <f t="shared" si="20"/>
        <v>57.018000000000001</v>
      </c>
      <c r="BE18" s="746">
        <f t="shared" si="32"/>
        <v>66.729000000000013</v>
      </c>
      <c r="BF18" s="747"/>
      <c r="BG18" s="339">
        <f t="shared" si="1"/>
        <v>94.653000000000006</v>
      </c>
      <c r="BH18" s="339">
        <f t="shared" si="1"/>
        <v>80.067000000000007</v>
      </c>
      <c r="BI18" s="369">
        <f t="shared" si="21"/>
        <v>54.21096</v>
      </c>
      <c r="BJ18" s="742">
        <f t="shared" si="33"/>
        <v>63.443880000000014</v>
      </c>
      <c r="BK18" s="742"/>
      <c r="BL18" s="369">
        <f t="shared" si="2"/>
        <v>89.993160000000003</v>
      </c>
      <c r="BM18" s="369">
        <f t="shared" si="2"/>
        <v>76.125240000000005</v>
      </c>
    </row>
    <row r="19" spans="1:65" ht="20.25" customHeight="1" thickTop="1" thickBot="1">
      <c r="A19" s="326" t="s">
        <v>530</v>
      </c>
      <c r="B19" s="327" t="s">
        <v>518</v>
      </c>
      <c r="C19" s="440">
        <v>39.179999999999993</v>
      </c>
      <c r="D19" s="776">
        <v>46.74</v>
      </c>
      <c r="E19" s="776"/>
      <c r="F19" s="443">
        <v>63.42</v>
      </c>
      <c r="G19" s="442">
        <v>59.099999999999994</v>
      </c>
      <c r="H19" s="303">
        <v>18.433799999999998</v>
      </c>
      <c r="I19" s="753">
        <v>21.990599999999997</v>
      </c>
      <c r="J19" s="755"/>
      <c r="K19" s="303">
        <v>29.822400000000002</v>
      </c>
      <c r="L19" s="303">
        <v>27.804599999999994</v>
      </c>
      <c r="M19" s="235">
        <v>27.659210526315789</v>
      </c>
      <c r="N19" s="771">
        <v>32.996052631578948</v>
      </c>
      <c r="O19" s="771"/>
      <c r="P19" s="235">
        <v>44.747368421052634</v>
      </c>
      <c r="Q19" s="236">
        <v>41.719736842105263</v>
      </c>
      <c r="R19" s="234">
        <f t="shared" si="3"/>
        <v>21.021000000000001</v>
      </c>
      <c r="S19" s="771">
        <f t="shared" si="3"/>
        <v>25.077000000000002</v>
      </c>
      <c r="T19" s="771"/>
      <c r="U19" s="235">
        <f t="shared" si="3"/>
        <v>34.008000000000003</v>
      </c>
      <c r="V19" s="235">
        <f t="shared" si="3"/>
        <v>31.707000000000001</v>
      </c>
      <c r="W19" s="299">
        <f t="shared" si="4"/>
        <v>18.498480000000001</v>
      </c>
      <c r="X19" s="772">
        <f t="shared" si="28"/>
        <v>22.067760000000003</v>
      </c>
      <c r="Y19" s="772"/>
      <c r="Z19" s="291">
        <f t="shared" si="7"/>
        <v>29.927040000000002</v>
      </c>
      <c r="AA19" s="300">
        <f t="shared" si="8"/>
        <v>27.902160000000002</v>
      </c>
      <c r="AB19" s="294"/>
      <c r="AC19" s="772">
        <v>22.06</v>
      </c>
      <c r="AD19" s="772"/>
      <c r="AE19" s="291"/>
      <c r="AF19" s="291">
        <v>28.09</v>
      </c>
      <c r="AI19" s="338">
        <v>32.339999999999996</v>
      </c>
      <c r="AJ19" s="744">
        <v>38.58</v>
      </c>
      <c r="AK19" s="745"/>
      <c r="AL19" s="338">
        <v>52.320000000000007</v>
      </c>
      <c r="AM19" s="338">
        <v>48.779999999999994</v>
      </c>
      <c r="AN19" s="339">
        <f t="shared" si="9"/>
        <v>21.020999999999997</v>
      </c>
      <c r="AO19" s="746">
        <f t="shared" si="29"/>
        <v>25.076999999999998</v>
      </c>
      <c r="AP19" s="747"/>
      <c r="AQ19" s="339">
        <f t="shared" si="12"/>
        <v>34.008000000000003</v>
      </c>
      <c r="AR19" s="339">
        <f t="shared" si="13"/>
        <v>31.706999999999997</v>
      </c>
      <c r="AS19" s="338">
        <f t="shared" si="14"/>
        <v>19.403999999999996</v>
      </c>
      <c r="AT19" s="744">
        <f t="shared" si="30"/>
        <v>23.148</v>
      </c>
      <c r="AU19" s="745"/>
      <c r="AV19" s="338">
        <f t="shared" si="17"/>
        <v>31.392000000000003</v>
      </c>
      <c r="AW19" s="338">
        <f t="shared" si="18"/>
        <v>29.267999999999994</v>
      </c>
      <c r="AY19" s="338">
        <f t="shared" si="19"/>
        <v>23.507999999999996</v>
      </c>
      <c r="AZ19" s="744">
        <f t="shared" si="31"/>
        <v>28.044</v>
      </c>
      <c r="BA19" s="745"/>
      <c r="BB19" s="338">
        <f t="shared" si="0"/>
        <v>38.052</v>
      </c>
      <c r="BC19" s="338">
        <f t="shared" si="0"/>
        <v>35.459999999999994</v>
      </c>
      <c r="BD19" s="339">
        <f t="shared" si="20"/>
        <v>25.466999999999995</v>
      </c>
      <c r="BE19" s="746">
        <f t="shared" si="32"/>
        <v>30.381000000000004</v>
      </c>
      <c r="BF19" s="747"/>
      <c r="BG19" s="339">
        <f t="shared" si="1"/>
        <v>41.222999999999999</v>
      </c>
      <c r="BH19" s="339">
        <f t="shared" si="1"/>
        <v>38.414999999999999</v>
      </c>
      <c r="BI19" s="369">
        <f t="shared" si="21"/>
        <v>24.213239999999995</v>
      </c>
      <c r="BJ19" s="742">
        <f t="shared" si="33"/>
        <v>28.88532</v>
      </c>
      <c r="BK19" s="742"/>
      <c r="BL19" s="369">
        <f t="shared" si="2"/>
        <v>39.193559999999998</v>
      </c>
      <c r="BM19" s="369">
        <f t="shared" si="2"/>
        <v>36.523799999999994</v>
      </c>
    </row>
    <row r="20" spans="1:65" ht="20.25" customHeight="1" thickTop="1" thickBot="1">
      <c r="A20" s="328" t="s">
        <v>531</v>
      </c>
      <c r="B20" s="329" t="s">
        <v>518</v>
      </c>
      <c r="C20" s="450" t="s">
        <v>23</v>
      </c>
      <c r="D20" s="775">
        <v>191.4</v>
      </c>
      <c r="E20" s="775"/>
      <c r="F20" s="449">
        <v>246.24</v>
      </c>
      <c r="G20" s="448">
        <v>228.95999999999998</v>
      </c>
      <c r="H20" s="303" t="s">
        <v>23</v>
      </c>
      <c r="I20" s="753">
        <v>90.082799999999992</v>
      </c>
      <c r="J20" s="755"/>
      <c r="K20" s="303">
        <v>115.93799999999997</v>
      </c>
      <c r="L20" s="303">
        <v>107.8326</v>
      </c>
      <c r="M20" s="235">
        <v>0</v>
      </c>
      <c r="N20" s="771">
        <v>135.16578947368421</v>
      </c>
      <c r="O20" s="771"/>
      <c r="P20" s="235">
        <v>173.96052631578945</v>
      </c>
      <c r="Q20" s="236">
        <v>161.79868421052632</v>
      </c>
      <c r="R20" s="234">
        <v>0</v>
      </c>
      <c r="S20" s="771">
        <f t="shared" si="3"/>
        <v>102.726</v>
      </c>
      <c r="T20" s="771"/>
      <c r="U20" s="235">
        <f t="shared" si="3"/>
        <v>132.20999999999998</v>
      </c>
      <c r="V20" s="235">
        <f t="shared" si="3"/>
        <v>122.967</v>
      </c>
      <c r="W20" s="299">
        <f t="shared" si="4"/>
        <v>0</v>
      </c>
      <c r="X20" s="772">
        <f t="shared" si="28"/>
        <v>90.398880000000005</v>
      </c>
      <c r="Y20" s="772"/>
      <c r="Z20" s="291">
        <f t="shared" si="7"/>
        <v>116.34479999999998</v>
      </c>
      <c r="AA20" s="300">
        <f t="shared" si="8"/>
        <v>108.21096</v>
      </c>
      <c r="AB20" s="294"/>
      <c r="AC20" s="772"/>
      <c r="AD20" s="772"/>
      <c r="AE20" s="291"/>
      <c r="AF20" s="291"/>
      <c r="AI20" s="340" t="s">
        <v>23</v>
      </c>
      <c r="AJ20" s="744">
        <v>158.04</v>
      </c>
      <c r="AK20" s="745"/>
      <c r="AL20" s="338">
        <v>203.39999999999998</v>
      </c>
      <c r="AM20" s="338">
        <v>189.18</v>
      </c>
      <c r="AN20" s="339">
        <v>0</v>
      </c>
      <c r="AO20" s="746">
        <f t="shared" si="29"/>
        <v>102.726</v>
      </c>
      <c r="AP20" s="747"/>
      <c r="AQ20" s="339">
        <f t="shared" si="12"/>
        <v>132.20999999999998</v>
      </c>
      <c r="AR20" s="339">
        <f t="shared" si="13"/>
        <v>122.96700000000001</v>
      </c>
      <c r="AS20" s="338">
        <v>0</v>
      </c>
      <c r="AT20" s="744">
        <f t="shared" si="30"/>
        <v>94.823999999999998</v>
      </c>
      <c r="AU20" s="745"/>
      <c r="AV20" s="338">
        <f t="shared" si="17"/>
        <v>122.03999999999998</v>
      </c>
      <c r="AW20" s="338">
        <f t="shared" si="18"/>
        <v>113.508</v>
      </c>
      <c r="AY20" s="340" t="s">
        <v>23</v>
      </c>
      <c r="AZ20" s="744">
        <f t="shared" si="31"/>
        <v>114.84</v>
      </c>
      <c r="BA20" s="745"/>
      <c r="BB20" s="338">
        <f t="shared" si="0"/>
        <v>147.744</v>
      </c>
      <c r="BC20" s="338">
        <f t="shared" si="0"/>
        <v>137.37599999999998</v>
      </c>
      <c r="BD20" s="339">
        <v>0</v>
      </c>
      <c r="BE20" s="746">
        <f t="shared" si="32"/>
        <v>124.41000000000001</v>
      </c>
      <c r="BF20" s="747"/>
      <c r="BG20" s="339">
        <f t="shared" si="1"/>
        <v>160.05600000000001</v>
      </c>
      <c r="BH20" s="339">
        <f t="shared" si="1"/>
        <v>148.82399999999998</v>
      </c>
      <c r="BI20" s="369">
        <v>0</v>
      </c>
      <c r="BJ20" s="742">
        <f t="shared" si="33"/>
        <v>118.2852</v>
      </c>
      <c r="BK20" s="742"/>
      <c r="BL20" s="369">
        <f t="shared" si="2"/>
        <v>152.17632</v>
      </c>
      <c r="BM20" s="369">
        <f t="shared" si="2"/>
        <v>141.49727999999999</v>
      </c>
    </row>
    <row r="21" spans="1:65" ht="20.25" customHeight="1" thickTop="1" thickBot="1">
      <c r="A21" s="326" t="s">
        <v>532</v>
      </c>
      <c r="B21" s="327" t="s">
        <v>518</v>
      </c>
      <c r="C21" s="769">
        <v>93.72</v>
      </c>
      <c r="D21" s="769"/>
      <c r="E21" s="769"/>
      <c r="F21" s="444">
        <v>125.94000000000001</v>
      </c>
      <c r="G21" s="445">
        <v>93.72</v>
      </c>
      <c r="H21" s="753">
        <v>44.118000000000002</v>
      </c>
      <c r="I21" s="754"/>
      <c r="J21" s="755"/>
      <c r="K21" s="303">
        <v>59.302799999999991</v>
      </c>
      <c r="L21" s="303">
        <v>44.118000000000002</v>
      </c>
      <c r="M21" s="773">
        <v>66.19736842105263</v>
      </c>
      <c r="N21" s="765"/>
      <c r="O21" s="765"/>
      <c r="P21" s="235">
        <v>88.981578947368419</v>
      </c>
      <c r="Q21" s="236">
        <v>66.19736842105263</v>
      </c>
      <c r="R21" s="764">
        <f t="shared" si="3"/>
        <v>50.31</v>
      </c>
      <c r="S21" s="765"/>
      <c r="T21" s="765"/>
      <c r="U21" s="235">
        <f t="shared" si="3"/>
        <v>67.626000000000005</v>
      </c>
      <c r="V21" s="235">
        <f t="shared" si="3"/>
        <v>50.31</v>
      </c>
      <c r="W21" s="766">
        <f t="shared" ref="W21" si="34">SUM(R21*0.88)</f>
        <v>44.272800000000004</v>
      </c>
      <c r="X21" s="767"/>
      <c r="Y21" s="767"/>
      <c r="Z21" s="291">
        <f t="shared" si="7"/>
        <v>59.510880000000007</v>
      </c>
      <c r="AA21" s="300">
        <f t="shared" si="8"/>
        <v>44.272800000000004</v>
      </c>
      <c r="AB21" s="768"/>
      <c r="AC21" s="767"/>
      <c r="AD21" s="767"/>
      <c r="AE21" s="291"/>
      <c r="AF21" s="291"/>
      <c r="AI21" s="736">
        <v>77.400000000000006</v>
      </c>
      <c r="AJ21" s="737"/>
      <c r="AK21" s="738"/>
      <c r="AL21" s="338">
        <v>104.03999999999999</v>
      </c>
      <c r="AM21" s="338">
        <v>77.400000000000006</v>
      </c>
      <c r="AN21" s="739">
        <f t="shared" ref="AN21" si="35">SUM(AI21*0.65)</f>
        <v>50.31</v>
      </c>
      <c r="AO21" s="740"/>
      <c r="AP21" s="741"/>
      <c r="AQ21" s="339">
        <f t="shared" si="12"/>
        <v>67.625999999999991</v>
      </c>
      <c r="AR21" s="339">
        <f t="shared" si="13"/>
        <v>50.31</v>
      </c>
      <c r="AS21" s="736">
        <f t="shared" ref="AS21" si="36">SUM(AI21*0.6)</f>
        <v>46.440000000000005</v>
      </c>
      <c r="AT21" s="737"/>
      <c r="AU21" s="738"/>
      <c r="AV21" s="338">
        <f t="shared" si="17"/>
        <v>62.423999999999992</v>
      </c>
      <c r="AW21" s="338">
        <f t="shared" si="18"/>
        <v>46.440000000000005</v>
      </c>
      <c r="AY21" s="736">
        <f t="shared" ref="AY21" si="37">SUM(C21*0.6)</f>
        <v>56.231999999999999</v>
      </c>
      <c r="AZ21" s="737"/>
      <c r="BA21" s="738"/>
      <c r="BB21" s="338">
        <f t="shared" si="0"/>
        <v>75.564000000000007</v>
      </c>
      <c r="BC21" s="338">
        <f t="shared" si="0"/>
        <v>56.231999999999999</v>
      </c>
      <c r="BD21" s="739">
        <f t="shared" ref="BD21" si="38">SUM(C21*0.65)</f>
        <v>60.917999999999999</v>
      </c>
      <c r="BE21" s="740"/>
      <c r="BF21" s="741"/>
      <c r="BG21" s="339">
        <f t="shared" si="1"/>
        <v>81.861000000000004</v>
      </c>
      <c r="BH21" s="339">
        <f t="shared" si="1"/>
        <v>60.917999999999999</v>
      </c>
      <c r="BI21" s="742">
        <f t="shared" ref="BI21" si="39">SUM(AY21*1.03)</f>
        <v>57.918959999999998</v>
      </c>
      <c r="BJ21" s="742"/>
      <c r="BK21" s="742"/>
      <c r="BL21" s="369">
        <f t="shared" si="2"/>
        <v>77.830920000000006</v>
      </c>
      <c r="BM21" s="369">
        <f t="shared" si="2"/>
        <v>57.918959999999998</v>
      </c>
    </row>
    <row r="22" spans="1:65" ht="20.25" customHeight="1" thickTop="1" thickBot="1">
      <c r="A22" s="328" t="s">
        <v>533</v>
      </c>
      <c r="B22" s="329" t="s">
        <v>518</v>
      </c>
      <c r="C22" s="751">
        <v>263.15999999999997</v>
      </c>
      <c r="D22" s="751"/>
      <c r="E22" s="751"/>
      <c r="F22" s="450">
        <v>365.52</v>
      </c>
      <c r="G22" s="451">
        <v>263.15999999999997</v>
      </c>
      <c r="H22" s="753">
        <v>123.90659999999998</v>
      </c>
      <c r="I22" s="754"/>
      <c r="J22" s="755"/>
      <c r="K22" s="303">
        <v>172.16279999999998</v>
      </c>
      <c r="L22" s="303">
        <v>123.90659999999998</v>
      </c>
      <c r="M22" s="762">
        <v>185.91710526315788</v>
      </c>
      <c r="N22" s="763"/>
      <c r="O22" s="763"/>
      <c r="P22" s="235">
        <v>258.32368421052632</v>
      </c>
      <c r="Q22" s="236">
        <v>185.91710526315788</v>
      </c>
      <c r="R22" s="764">
        <f t="shared" si="3"/>
        <v>141.297</v>
      </c>
      <c r="S22" s="765"/>
      <c r="T22" s="765"/>
      <c r="U22" s="235">
        <f t="shared" si="3"/>
        <v>196.32600000000002</v>
      </c>
      <c r="V22" s="235">
        <f t="shared" si="3"/>
        <v>141.297</v>
      </c>
      <c r="W22" s="766">
        <f t="shared" ref="W22" si="40">SUM(R22*0.88)</f>
        <v>124.34135999999999</v>
      </c>
      <c r="X22" s="767"/>
      <c r="Y22" s="767"/>
      <c r="Z22" s="291">
        <f t="shared" si="7"/>
        <v>172.76688000000001</v>
      </c>
      <c r="AA22" s="300">
        <f t="shared" si="8"/>
        <v>124.34135999999999</v>
      </c>
      <c r="AB22" s="768"/>
      <c r="AC22" s="767"/>
      <c r="AD22" s="767"/>
      <c r="AE22" s="291"/>
      <c r="AF22" s="291"/>
      <c r="AI22" s="736">
        <v>217.38</v>
      </c>
      <c r="AJ22" s="737"/>
      <c r="AK22" s="738"/>
      <c r="AL22" s="338">
        <v>302.03999999999996</v>
      </c>
      <c r="AM22" s="338">
        <v>217.38</v>
      </c>
      <c r="AN22" s="739">
        <f t="shared" ref="AN22" si="41">SUM(AI22*0.65)</f>
        <v>141.297</v>
      </c>
      <c r="AO22" s="740"/>
      <c r="AP22" s="741"/>
      <c r="AQ22" s="339">
        <f t="shared" si="12"/>
        <v>196.32599999999999</v>
      </c>
      <c r="AR22" s="339">
        <f t="shared" si="13"/>
        <v>141.297</v>
      </c>
      <c r="AS22" s="736">
        <f t="shared" ref="AS22" si="42">SUM(AI22*0.6)</f>
        <v>130.428</v>
      </c>
      <c r="AT22" s="737"/>
      <c r="AU22" s="738"/>
      <c r="AV22" s="338">
        <f t="shared" si="17"/>
        <v>181.22399999999996</v>
      </c>
      <c r="AW22" s="338">
        <f t="shared" si="18"/>
        <v>130.428</v>
      </c>
      <c r="AY22" s="736">
        <f t="shared" ref="AY22" si="43">SUM(C22*0.6)</f>
        <v>157.89599999999999</v>
      </c>
      <c r="AZ22" s="737"/>
      <c r="BA22" s="738"/>
      <c r="BB22" s="338">
        <f t="shared" si="0"/>
        <v>219.31199999999998</v>
      </c>
      <c r="BC22" s="338">
        <f t="shared" si="0"/>
        <v>157.89599999999999</v>
      </c>
      <c r="BD22" s="739">
        <f t="shared" ref="BD22" si="44">SUM(C22*0.65)</f>
        <v>171.05399999999997</v>
      </c>
      <c r="BE22" s="740"/>
      <c r="BF22" s="741"/>
      <c r="BG22" s="339">
        <f t="shared" si="1"/>
        <v>237.58799999999999</v>
      </c>
      <c r="BH22" s="339">
        <f t="shared" si="1"/>
        <v>171.05399999999997</v>
      </c>
      <c r="BI22" s="742">
        <f t="shared" ref="BI22" si="45">SUM(AY22*1.03)</f>
        <v>162.63288</v>
      </c>
      <c r="BJ22" s="742"/>
      <c r="BK22" s="742"/>
      <c r="BL22" s="369">
        <f t="shared" si="2"/>
        <v>225.89135999999999</v>
      </c>
      <c r="BM22" s="369">
        <f t="shared" si="2"/>
        <v>162.63288</v>
      </c>
    </row>
    <row r="23" spans="1:65" ht="20.25" customHeight="1" thickTop="1" thickBot="1">
      <c r="A23" s="326" t="s">
        <v>534</v>
      </c>
      <c r="B23" s="327" t="s">
        <v>518</v>
      </c>
      <c r="C23" s="769">
        <v>36.659999999999997</v>
      </c>
      <c r="D23" s="769"/>
      <c r="E23" s="769"/>
      <c r="F23" s="769"/>
      <c r="G23" s="770"/>
      <c r="H23" s="753">
        <v>17.236799999999999</v>
      </c>
      <c r="I23" s="754"/>
      <c r="J23" s="754"/>
      <c r="K23" s="754"/>
      <c r="L23" s="755"/>
      <c r="M23" s="756">
        <v>25.863157894736844</v>
      </c>
      <c r="N23" s="757"/>
      <c r="O23" s="757"/>
      <c r="P23" s="757"/>
      <c r="Q23" s="749"/>
      <c r="R23" s="750">
        <f t="shared" si="3"/>
        <v>19.656000000000002</v>
      </c>
      <c r="S23" s="750"/>
      <c r="T23" s="750"/>
      <c r="U23" s="750"/>
      <c r="V23" s="756"/>
      <c r="W23" s="758">
        <f t="shared" ref="W23" si="46">SUM(R23*0.88)</f>
        <v>17.297280000000001</v>
      </c>
      <c r="X23" s="750"/>
      <c r="Y23" s="750"/>
      <c r="Z23" s="750"/>
      <c r="AA23" s="759"/>
      <c r="AB23" s="749">
        <v>17.350000000000001</v>
      </c>
      <c r="AC23" s="750"/>
      <c r="AD23" s="750"/>
      <c r="AE23" s="750"/>
      <c r="AF23" s="750"/>
      <c r="AI23" s="736">
        <v>30.240000000000002</v>
      </c>
      <c r="AJ23" s="737"/>
      <c r="AK23" s="737"/>
      <c r="AL23" s="737"/>
      <c r="AM23" s="738"/>
      <c r="AN23" s="739">
        <f t="shared" ref="AN23" si="47">SUM(AI23*0.65)</f>
        <v>19.656000000000002</v>
      </c>
      <c r="AO23" s="740"/>
      <c r="AP23" s="740"/>
      <c r="AQ23" s="740"/>
      <c r="AR23" s="741"/>
      <c r="AS23" s="736">
        <f t="shared" ref="AS23" si="48">SUM(AI23*0.6)</f>
        <v>18.144000000000002</v>
      </c>
      <c r="AT23" s="737"/>
      <c r="AU23" s="737"/>
      <c r="AV23" s="737"/>
      <c r="AW23" s="738"/>
      <c r="AY23" s="736">
        <f t="shared" ref="AY23" si="49">SUM(C23*0.6)</f>
        <v>21.995999999999999</v>
      </c>
      <c r="AZ23" s="737"/>
      <c r="BA23" s="737"/>
      <c r="BB23" s="737"/>
      <c r="BC23" s="738"/>
      <c r="BD23" s="739">
        <f t="shared" ref="BD23" si="50">SUM(C23*0.65)</f>
        <v>23.828999999999997</v>
      </c>
      <c r="BE23" s="740"/>
      <c r="BF23" s="740"/>
      <c r="BG23" s="740"/>
      <c r="BH23" s="741"/>
      <c r="BI23" s="742">
        <f t="shared" ref="BI23" si="51">SUM(AY23*1.03)</f>
        <v>22.65588</v>
      </c>
      <c r="BJ23" s="742"/>
      <c r="BK23" s="742"/>
      <c r="BL23" s="742"/>
      <c r="BM23" s="742"/>
    </row>
    <row r="24" spans="1:65" ht="20.25" customHeight="1" thickTop="1" thickBot="1">
      <c r="A24" s="328" t="s">
        <v>535</v>
      </c>
      <c r="B24" s="329" t="s">
        <v>518</v>
      </c>
      <c r="C24" s="751">
        <v>39.179999999999993</v>
      </c>
      <c r="D24" s="751"/>
      <c r="E24" s="751"/>
      <c r="F24" s="751"/>
      <c r="G24" s="752"/>
      <c r="H24" s="753">
        <v>18.433799999999998</v>
      </c>
      <c r="I24" s="754"/>
      <c r="J24" s="754"/>
      <c r="K24" s="754"/>
      <c r="L24" s="755"/>
      <c r="M24" s="756">
        <v>27.659210526315789</v>
      </c>
      <c r="N24" s="757"/>
      <c r="O24" s="757"/>
      <c r="P24" s="757"/>
      <c r="Q24" s="749"/>
      <c r="R24" s="750">
        <f t="shared" si="3"/>
        <v>21.021000000000001</v>
      </c>
      <c r="S24" s="750"/>
      <c r="T24" s="750"/>
      <c r="U24" s="750"/>
      <c r="V24" s="756"/>
      <c r="W24" s="758">
        <f t="shared" ref="W24:W25" si="52">SUM(R24*0.88)</f>
        <v>18.498480000000001</v>
      </c>
      <c r="X24" s="750"/>
      <c r="Y24" s="750"/>
      <c r="Z24" s="750"/>
      <c r="AA24" s="759"/>
      <c r="AB24" s="749">
        <v>18.55</v>
      </c>
      <c r="AC24" s="750"/>
      <c r="AD24" s="750"/>
      <c r="AE24" s="750"/>
      <c r="AF24" s="750"/>
      <c r="AI24" s="736">
        <v>32.339999999999996</v>
      </c>
      <c r="AJ24" s="737"/>
      <c r="AK24" s="737"/>
      <c r="AL24" s="737"/>
      <c r="AM24" s="738"/>
      <c r="AN24" s="739">
        <f t="shared" ref="AN24:AN25" si="53">SUM(AI24*0.65)</f>
        <v>21.020999999999997</v>
      </c>
      <c r="AO24" s="740"/>
      <c r="AP24" s="740"/>
      <c r="AQ24" s="740"/>
      <c r="AR24" s="741"/>
      <c r="AS24" s="736">
        <f t="shared" ref="AS24:AS25" si="54">SUM(AI24*0.6)</f>
        <v>19.403999999999996</v>
      </c>
      <c r="AT24" s="737"/>
      <c r="AU24" s="737"/>
      <c r="AV24" s="737"/>
      <c r="AW24" s="738"/>
      <c r="AY24" s="736">
        <f t="shared" ref="AY24:AY25" si="55">SUM(C24*0.6)</f>
        <v>23.507999999999996</v>
      </c>
      <c r="AZ24" s="737"/>
      <c r="BA24" s="737"/>
      <c r="BB24" s="737"/>
      <c r="BC24" s="738"/>
      <c r="BD24" s="739">
        <f t="shared" ref="BD24:BD25" si="56">SUM(C24*0.65)</f>
        <v>25.466999999999995</v>
      </c>
      <c r="BE24" s="740"/>
      <c r="BF24" s="740"/>
      <c r="BG24" s="740"/>
      <c r="BH24" s="741"/>
      <c r="BI24" s="742">
        <f t="shared" ref="BI24:BI25" si="57">SUM(AY24*1.03)</f>
        <v>24.213239999999995</v>
      </c>
      <c r="BJ24" s="742"/>
      <c r="BK24" s="742"/>
      <c r="BL24" s="742"/>
      <c r="BM24" s="742"/>
    </row>
    <row r="25" spans="1:65" ht="20.25" customHeight="1" thickTop="1" thickBot="1">
      <c r="A25" s="326" t="s">
        <v>536</v>
      </c>
      <c r="B25" s="327" t="s">
        <v>518</v>
      </c>
      <c r="C25" s="760">
        <v>41.28</v>
      </c>
      <c r="D25" s="760"/>
      <c r="E25" s="760"/>
      <c r="F25" s="760"/>
      <c r="G25" s="761"/>
      <c r="H25" s="753">
        <v>19.391399999999997</v>
      </c>
      <c r="I25" s="754"/>
      <c r="J25" s="754"/>
      <c r="K25" s="754"/>
      <c r="L25" s="755"/>
      <c r="M25" s="756">
        <v>29.096052631578949</v>
      </c>
      <c r="N25" s="757"/>
      <c r="O25" s="757"/>
      <c r="P25" s="757"/>
      <c r="Q25" s="749"/>
      <c r="R25" s="750">
        <f t="shared" si="3"/>
        <v>22.113000000000003</v>
      </c>
      <c r="S25" s="750"/>
      <c r="T25" s="750"/>
      <c r="U25" s="750"/>
      <c r="V25" s="756"/>
      <c r="W25" s="758">
        <f t="shared" si="52"/>
        <v>19.459440000000004</v>
      </c>
      <c r="X25" s="750"/>
      <c r="Y25" s="750"/>
      <c r="Z25" s="750"/>
      <c r="AA25" s="759"/>
      <c r="AB25" s="749">
        <v>19.440000000000001</v>
      </c>
      <c r="AC25" s="750"/>
      <c r="AD25" s="750"/>
      <c r="AE25" s="750"/>
      <c r="AF25" s="750"/>
      <c r="AI25" s="736">
        <v>34.019999999999996</v>
      </c>
      <c r="AJ25" s="737"/>
      <c r="AK25" s="737"/>
      <c r="AL25" s="737"/>
      <c r="AM25" s="738"/>
      <c r="AN25" s="739">
        <f t="shared" si="53"/>
        <v>22.113</v>
      </c>
      <c r="AO25" s="740"/>
      <c r="AP25" s="740"/>
      <c r="AQ25" s="740"/>
      <c r="AR25" s="741"/>
      <c r="AS25" s="736">
        <f t="shared" si="54"/>
        <v>20.411999999999995</v>
      </c>
      <c r="AT25" s="737"/>
      <c r="AU25" s="737"/>
      <c r="AV25" s="737"/>
      <c r="AW25" s="738"/>
      <c r="AY25" s="736">
        <f t="shared" si="55"/>
        <v>24.768000000000001</v>
      </c>
      <c r="AZ25" s="737"/>
      <c r="BA25" s="737"/>
      <c r="BB25" s="737"/>
      <c r="BC25" s="738"/>
      <c r="BD25" s="739">
        <f t="shared" si="56"/>
        <v>26.832000000000001</v>
      </c>
      <c r="BE25" s="740"/>
      <c r="BF25" s="740"/>
      <c r="BG25" s="740"/>
      <c r="BH25" s="741"/>
      <c r="BI25" s="742">
        <f t="shared" si="57"/>
        <v>25.511040000000001</v>
      </c>
      <c r="BJ25" s="742"/>
      <c r="BK25" s="742"/>
      <c r="BL25" s="742"/>
      <c r="BM25" s="742"/>
    </row>
    <row r="26" spans="1:65" ht="21" thickTop="1">
      <c r="G26" s="202"/>
      <c r="M26" s="206"/>
      <c r="N26" s="207"/>
      <c r="O26" s="207"/>
      <c r="P26" s="207"/>
      <c r="Q26" s="208"/>
    </row>
    <row r="27" spans="1:65">
      <c r="M27" s="206"/>
      <c r="N27" s="207"/>
      <c r="O27" s="207"/>
      <c r="P27" s="207"/>
      <c r="Q27" s="208"/>
    </row>
    <row r="28" spans="1:65" ht="15.75" thickBot="1">
      <c r="M28" s="209"/>
      <c r="N28" s="210"/>
      <c r="O28" s="210"/>
      <c r="P28" s="210"/>
      <c r="Q28" s="211"/>
    </row>
  </sheetData>
  <mergeCells count="135">
    <mergeCell ref="D18:E18"/>
    <mergeCell ref="D19:E19"/>
    <mergeCell ref="D20:E20"/>
    <mergeCell ref="H3:L3"/>
    <mergeCell ref="M3:Q3"/>
    <mergeCell ref="R3:V3"/>
    <mergeCell ref="A5:A6"/>
    <mergeCell ref="B5:B6"/>
    <mergeCell ref="J5:K5"/>
    <mergeCell ref="O5:P5"/>
    <mergeCell ref="T5:U5"/>
    <mergeCell ref="D16:E16"/>
    <mergeCell ref="D17:E17"/>
    <mergeCell ref="AC17:AD17"/>
    <mergeCell ref="Y5:Z5"/>
    <mergeCell ref="AD5:AE5"/>
    <mergeCell ref="I16:J16"/>
    <mergeCell ref="N16:O16"/>
    <mergeCell ref="S16:T16"/>
    <mergeCell ref="X16:Y16"/>
    <mergeCell ref="AC16:AD16"/>
    <mergeCell ref="I17:J17"/>
    <mergeCell ref="N17:O17"/>
    <mergeCell ref="S17:T17"/>
    <mergeCell ref="X17:Y17"/>
    <mergeCell ref="AC19:AD19"/>
    <mergeCell ref="I18:J18"/>
    <mergeCell ref="N18:O18"/>
    <mergeCell ref="S18:T18"/>
    <mergeCell ref="X18:Y18"/>
    <mergeCell ref="AC18:AD18"/>
    <mergeCell ref="I19:J19"/>
    <mergeCell ref="N19:O19"/>
    <mergeCell ref="S19:T19"/>
    <mergeCell ref="X19:Y19"/>
    <mergeCell ref="AB21:AD21"/>
    <mergeCell ref="I20:J20"/>
    <mergeCell ref="N20:O20"/>
    <mergeCell ref="S20:T20"/>
    <mergeCell ref="X20:Y20"/>
    <mergeCell ref="AC20:AD20"/>
    <mergeCell ref="C21:E21"/>
    <mergeCell ref="H21:J21"/>
    <mergeCell ref="M21:O21"/>
    <mergeCell ref="R21:T21"/>
    <mergeCell ref="W21:Y21"/>
    <mergeCell ref="AB23:AF23"/>
    <mergeCell ref="C22:E22"/>
    <mergeCell ref="H22:J22"/>
    <mergeCell ref="M22:O22"/>
    <mergeCell ref="R22:T22"/>
    <mergeCell ref="W22:Y22"/>
    <mergeCell ref="AB22:AD22"/>
    <mergeCell ref="C23:G23"/>
    <mergeCell ref="H23:L23"/>
    <mergeCell ref="M23:Q23"/>
    <mergeCell ref="R23:V23"/>
    <mergeCell ref="W23:AA23"/>
    <mergeCell ref="AB25:AF25"/>
    <mergeCell ref="C24:G24"/>
    <mergeCell ref="H24:L24"/>
    <mergeCell ref="M24:Q24"/>
    <mergeCell ref="R24:V24"/>
    <mergeCell ref="W24:AA24"/>
    <mergeCell ref="AB24:AF24"/>
    <mergeCell ref="C25:G25"/>
    <mergeCell ref="H25:L25"/>
    <mergeCell ref="M25:Q25"/>
    <mergeCell ref="R25:V25"/>
    <mergeCell ref="W25:AA25"/>
    <mergeCell ref="AI25:AM25"/>
    <mergeCell ref="AI6:AM6"/>
    <mergeCell ref="AN6:AR6"/>
    <mergeCell ref="AO16:AP16"/>
    <mergeCell ref="AO17:AP17"/>
    <mergeCell ref="AO18:AP18"/>
    <mergeCell ref="AO19:AP19"/>
    <mergeCell ref="AO20:AP20"/>
    <mergeCell ref="AN21:AP21"/>
    <mergeCell ref="AN22:AP22"/>
    <mergeCell ref="AN23:AR23"/>
    <mergeCell ref="AN24:AR24"/>
    <mergeCell ref="AN25:AR25"/>
    <mergeCell ref="AJ20:AK20"/>
    <mergeCell ref="AI21:AK21"/>
    <mergeCell ref="AI22:AK22"/>
    <mergeCell ref="AI23:AM23"/>
    <mergeCell ref="AI24:AM24"/>
    <mergeCell ref="AJ16:AK16"/>
    <mergeCell ref="AJ17:AK17"/>
    <mergeCell ref="AJ18:AK18"/>
    <mergeCell ref="AJ19:AK19"/>
    <mergeCell ref="AS25:AW25"/>
    <mergeCell ref="AT20:AU20"/>
    <mergeCell ref="AS21:AU21"/>
    <mergeCell ref="AS22:AU22"/>
    <mergeCell ref="AS23:AW23"/>
    <mergeCell ref="AS24:AW24"/>
    <mergeCell ref="AT16:AU16"/>
    <mergeCell ref="AT17:AU17"/>
    <mergeCell ref="AT18:AU18"/>
    <mergeCell ref="AT19:AU19"/>
    <mergeCell ref="AS3:AW3"/>
    <mergeCell ref="AZ16:BA16"/>
    <mergeCell ref="BE16:BF16"/>
    <mergeCell ref="BJ16:BK16"/>
    <mergeCell ref="AZ17:BA17"/>
    <mergeCell ref="BE17:BF17"/>
    <mergeCell ref="BJ17:BK17"/>
    <mergeCell ref="AZ18:BA18"/>
    <mergeCell ref="BE18:BF18"/>
    <mergeCell ref="BJ18:BK18"/>
    <mergeCell ref="AY25:BC25"/>
    <mergeCell ref="BD25:BH25"/>
    <mergeCell ref="BI25:BM25"/>
    <mergeCell ref="AY6:BC6"/>
    <mergeCell ref="BD6:BH6"/>
    <mergeCell ref="AY22:BA22"/>
    <mergeCell ref="BD22:BF22"/>
    <mergeCell ref="BI22:BK22"/>
    <mergeCell ref="AY23:BC23"/>
    <mergeCell ref="BD23:BH23"/>
    <mergeCell ref="BI23:BM23"/>
    <mergeCell ref="AY24:BC24"/>
    <mergeCell ref="BD24:BH24"/>
    <mergeCell ref="BI24:BM24"/>
    <mergeCell ref="AZ19:BA19"/>
    <mergeCell ref="BE19:BF19"/>
    <mergeCell ref="BJ19:BK19"/>
    <mergeCell ref="AZ20:BA20"/>
    <mergeCell ref="BE20:BF20"/>
    <mergeCell ref="BJ20:BK20"/>
    <mergeCell ref="AY21:BA21"/>
    <mergeCell ref="BD21:BF21"/>
    <mergeCell ref="BI21:BK21"/>
  </mergeCells>
  <pageMargins left="0.39370078740157483" right="0.39370078740157483" top="0.39370078740157483" bottom="0.39370078740157483" header="0.51181102362204722" footer="0.51181102362204722"/>
  <pageSetup paperSize="9" scale="90" orientation="landscape" r:id="rId1"/>
  <headerFooter alignWithMargins="0"/>
  <colBreaks count="1" manualBreakCount="1">
    <brk id="7" max="2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5" tint="-0.249977111117893"/>
  </sheetPr>
  <dimension ref="A1:BC21"/>
  <sheetViews>
    <sheetView view="pageBreakPreview" zoomScale="110" zoomScaleNormal="110" zoomScaleSheetLayoutView="110" workbookViewId="0">
      <selection activeCell="BR20" sqref="BR20"/>
    </sheetView>
  </sheetViews>
  <sheetFormatPr defaultColWidth="9.140625" defaultRowHeight="12.75" outlineLevelCol="1"/>
  <cols>
    <col min="1" max="1" width="20.5703125" style="214" customWidth="1"/>
    <col min="2" max="2" width="6.7109375" style="214" customWidth="1"/>
    <col min="3" max="3" width="6.28515625" style="214" customWidth="1"/>
    <col min="4" max="4" width="6.140625" style="214" customWidth="1"/>
    <col min="5" max="5" width="7" style="214" customWidth="1"/>
    <col min="6" max="6" width="9.85546875" style="214" customWidth="1"/>
    <col min="7" max="7" width="13" style="214" customWidth="1"/>
    <col min="8" max="8" width="8.7109375" style="214" customWidth="1"/>
    <col min="9" max="9" width="8.85546875" style="214" customWidth="1"/>
    <col min="10" max="10" width="10.140625" style="214" customWidth="1"/>
    <col min="11" max="22" width="1.85546875" style="214" hidden="1" customWidth="1" outlineLevel="1"/>
    <col min="23" max="28" width="8.5703125" style="214" hidden="1" customWidth="1" outlineLevel="1"/>
    <col min="29" max="34" width="8.42578125" style="214" hidden="1" customWidth="1" outlineLevel="1"/>
    <col min="35" max="35" width="9.140625" style="214" hidden="1" customWidth="1" outlineLevel="1"/>
    <col min="36" max="36" width="11.42578125" style="214" hidden="1" customWidth="1" outlineLevel="1"/>
    <col min="37" max="40" width="9.140625" style="214" hidden="1" customWidth="1" outlineLevel="1"/>
    <col min="41" max="41" width="9.140625" style="214" hidden="1" customWidth="1" collapsed="1"/>
    <col min="42" max="55" width="9.140625" style="214" hidden="1" customWidth="1"/>
    <col min="56" max="66" width="0" style="214" hidden="1" customWidth="1"/>
    <col min="67" max="16384" width="9.140625" style="214"/>
  </cols>
  <sheetData>
    <row r="1" spans="1:55" ht="13.5" customHeight="1">
      <c r="A1" s="213"/>
    </row>
    <row r="2" spans="1:55" ht="53.25" customHeight="1">
      <c r="A2" s="787" t="s">
        <v>75</v>
      </c>
      <c r="B2" s="787"/>
      <c r="C2" s="787"/>
      <c r="D2" s="787"/>
      <c r="E2" s="787"/>
      <c r="F2" s="787"/>
      <c r="G2" s="787"/>
      <c r="H2" s="787"/>
      <c r="I2" s="787"/>
      <c r="J2" s="787"/>
      <c r="K2" s="782"/>
      <c r="L2" s="782"/>
      <c r="M2" s="782"/>
      <c r="N2" s="782"/>
      <c r="O2" s="782"/>
      <c r="P2" s="782"/>
      <c r="AP2" s="214" t="s">
        <v>603</v>
      </c>
    </row>
    <row r="3" spans="1:55" ht="20.25" customHeight="1" thickBot="1">
      <c r="A3" s="790"/>
      <c r="B3" s="790"/>
      <c r="C3" s="790"/>
      <c r="D3" s="790"/>
      <c r="E3" s="790"/>
      <c r="F3" s="790"/>
      <c r="G3" s="791"/>
      <c r="H3" s="789" t="s">
        <v>5</v>
      </c>
      <c r="I3" s="789"/>
      <c r="J3" s="789"/>
      <c r="K3" s="786"/>
      <c r="L3" s="782"/>
      <c r="M3" s="782"/>
      <c r="N3" s="782"/>
      <c r="O3" s="782"/>
      <c r="P3" s="782"/>
      <c r="AO3" s="789" t="s">
        <v>560</v>
      </c>
      <c r="AP3" s="789"/>
      <c r="AQ3" s="789"/>
      <c r="AR3" s="789" t="s">
        <v>745</v>
      </c>
      <c r="AS3" s="789"/>
      <c r="AT3" s="789"/>
      <c r="AU3" s="789" t="s">
        <v>746</v>
      </c>
      <c r="AV3" s="789"/>
      <c r="AW3" s="789"/>
      <c r="AX3" s="789" t="s">
        <v>748</v>
      </c>
      <c r="AY3" s="789"/>
      <c r="AZ3" s="789"/>
      <c r="BA3" s="789" t="s">
        <v>747</v>
      </c>
      <c r="BB3" s="789"/>
      <c r="BC3" s="789"/>
    </row>
    <row r="4" spans="1:55" ht="20.25" customHeight="1" thickBot="1">
      <c r="A4" s="788" t="s">
        <v>28</v>
      </c>
      <c r="B4" s="788" t="s">
        <v>106</v>
      </c>
      <c r="C4" s="788" t="s">
        <v>1</v>
      </c>
      <c r="D4" s="788" t="s">
        <v>20</v>
      </c>
      <c r="E4" s="788" t="s">
        <v>74</v>
      </c>
      <c r="F4" s="788" t="s">
        <v>76</v>
      </c>
      <c r="G4" s="788"/>
      <c r="H4" s="788" t="s">
        <v>125</v>
      </c>
      <c r="I4" s="788"/>
      <c r="J4" s="788"/>
      <c r="K4" s="783" t="s">
        <v>495</v>
      </c>
      <c r="L4" s="784"/>
      <c r="M4" s="784"/>
      <c r="N4" s="783" t="s">
        <v>501</v>
      </c>
      <c r="O4" s="784"/>
      <c r="P4" s="784"/>
      <c r="Q4" s="784" t="s">
        <v>502</v>
      </c>
      <c r="R4" s="784"/>
      <c r="S4" s="784"/>
      <c r="T4" s="784" t="s">
        <v>503</v>
      </c>
      <c r="U4" s="784"/>
      <c r="V4" s="784"/>
      <c r="W4" s="781" t="s">
        <v>639</v>
      </c>
      <c r="X4" s="781"/>
      <c r="Y4" s="781"/>
      <c r="Z4" s="255"/>
      <c r="AA4" s="255" t="s">
        <v>575</v>
      </c>
      <c r="AB4" s="255"/>
      <c r="AC4" s="780" t="s">
        <v>558</v>
      </c>
      <c r="AD4" s="780"/>
      <c r="AE4" s="780"/>
      <c r="AF4" s="781" t="s">
        <v>506</v>
      </c>
      <c r="AG4" s="781"/>
      <c r="AH4" s="781"/>
      <c r="AI4" s="780" t="s">
        <v>559</v>
      </c>
      <c r="AJ4" s="780"/>
      <c r="AK4" s="780"/>
      <c r="AL4" s="781" t="s">
        <v>555</v>
      </c>
      <c r="AM4" s="781"/>
      <c r="AN4" s="781"/>
      <c r="AO4" s="788" t="s">
        <v>125</v>
      </c>
      <c r="AP4" s="788"/>
      <c r="AQ4" s="788"/>
      <c r="AR4" s="788" t="s">
        <v>125</v>
      </c>
      <c r="AS4" s="788"/>
      <c r="AT4" s="788"/>
      <c r="AU4" s="788" t="s">
        <v>125</v>
      </c>
      <c r="AV4" s="788"/>
      <c r="AW4" s="788"/>
      <c r="AX4" s="788" t="s">
        <v>125</v>
      </c>
      <c r="AY4" s="788"/>
      <c r="AZ4" s="788"/>
      <c r="BA4" s="788" t="s">
        <v>125</v>
      </c>
      <c r="BB4" s="788"/>
      <c r="BC4" s="788"/>
    </row>
    <row r="5" spans="1:55" ht="62.25" customHeight="1" thickBot="1">
      <c r="A5" s="788"/>
      <c r="B5" s="788"/>
      <c r="C5" s="788"/>
      <c r="D5" s="788"/>
      <c r="E5" s="788"/>
      <c r="F5" s="215" t="s">
        <v>123</v>
      </c>
      <c r="G5" s="215" t="s">
        <v>138</v>
      </c>
      <c r="H5" s="216" t="s">
        <v>34</v>
      </c>
      <c r="I5" s="215" t="s">
        <v>77</v>
      </c>
      <c r="J5" s="215" t="s">
        <v>88</v>
      </c>
      <c r="K5" s="216" t="s">
        <v>465</v>
      </c>
      <c r="L5" s="215" t="s">
        <v>463</v>
      </c>
      <c r="M5" s="215" t="s">
        <v>464</v>
      </c>
      <c r="N5" s="216" t="s">
        <v>484</v>
      </c>
      <c r="O5" s="216" t="s">
        <v>483</v>
      </c>
      <c r="P5" s="215" t="s">
        <v>482</v>
      </c>
      <c r="Q5" s="216" t="s">
        <v>484</v>
      </c>
      <c r="R5" s="216" t="s">
        <v>483</v>
      </c>
      <c r="S5" s="215" t="s">
        <v>482</v>
      </c>
      <c r="T5" s="216" t="s">
        <v>484</v>
      </c>
      <c r="U5" s="216" t="s">
        <v>483</v>
      </c>
      <c r="V5" s="215" t="s">
        <v>482</v>
      </c>
      <c r="W5" s="254" t="s">
        <v>34</v>
      </c>
      <c r="X5" s="255" t="s">
        <v>77</v>
      </c>
      <c r="Y5" s="255" t="s">
        <v>88</v>
      </c>
      <c r="Z5" s="254" t="s">
        <v>34</v>
      </c>
      <c r="AA5" s="255" t="s">
        <v>77</v>
      </c>
      <c r="AB5" s="255" t="s">
        <v>88</v>
      </c>
      <c r="AC5" s="259" t="s">
        <v>34</v>
      </c>
      <c r="AD5" s="260" t="s">
        <v>77</v>
      </c>
      <c r="AE5" s="260" t="s">
        <v>88</v>
      </c>
      <c r="AF5" s="254" t="s">
        <v>34</v>
      </c>
      <c r="AG5" s="255" t="s">
        <v>77</v>
      </c>
      <c r="AH5" s="255" t="s">
        <v>88</v>
      </c>
      <c r="AI5" s="259" t="s">
        <v>34</v>
      </c>
      <c r="AJ5" s="260" t="s">
        <v>77</v>
      </c>
      <c r="AK5" s="260" t="s">
        <v>88</v>
      </c>
      <c r="AL5" s="254" t="s">
        <v>34</v>
      </c>
      <c r="AM5" s="255" t="s">
        <v>77</v>
      </c>
      <c r="AN5" s="255" t="s">
        <v>88</v>
      </c>
      <c r="AO5" s="216" t="s">
        <v>34</v>
      </c>
      <c r="AP5" s="455" t="s">
        <v>77</v>
      </c>
      <c r="AQ5" s="455" t="s">
        <v>88</v>
      </c>
      <c r="AR5" s="216" t="s">
        <v>34</v>
      </c>
      <c r="AS5" s="455" t="s">
        <v>77</v>
      </c>
      <c r="AT5" s="455" t="s">
        <v>88</v>
      </c>
      <c r="AU5" s="216" t="s">
        <v>34</v>
      </c>
      <c r="AV5" s="455" t="s">
        <v>77</v>
      </c>
      <c r="AW5" s="455" t="s">
        <v>88</v>
      </c>
      <c r="AX5" s="216" t="s">
        <v>34</v>
      </c>
      <c r="AY5" s="455" t="s">
        <v>77</v>
      </c>
      <c r="AZ5" s="455" t="s">
        <v>88</v>
      </c>
      <c r="BA5" s="216" t="s">
        <v>34</v>
      </c>
      <c r="BB5" s="455" t="s">
        <v>77</v>
      </c>
      <c r="BC5" s="455" t="s">
        <v>88</v>
      </c>
    </row>
    <row r="6" spans="1:55" ht="19.7" customHeight="1" thickBot="1">
      <c r="A6" s="217" t="s">
        <v>67</v>
      </c>
      <c r="B6" s="217" t="s">
        <v>68</v>
      </c>
      <c r="C6" s="217">
        <v>310</v>
      </c>
      <c r="D6" s="217">
        <v>4000</v>
      </c>
      <c r="E6" s="217" t="s">
        <v>69</v>
      </c>
      <c r="F6" s="217" t="s">
        <v>124</v>
      </c>
      <c r="G6" s="218" t="s">
        <v>124</v>
      </c>
      <c r="H6" s="219">
        <f>SUM(AX6)</f>
        <v>285.34394879999996</v>
      </c>
      <c r="I6" s="219">
        <f t="shared" ref="I6:J8" si="0">SUM(AY6)</f>
        <v>324.42923519999999</v>
      </c>
      <c r="J6" s="219">
        <f t="shared" si="0"/>
        <v>458.77155839999989</v>
      </c>
      <c r="K6" s="220">
        <v>172.69</v>
      </c>
      <c r="L6" s="221">
        <v>196.34</v>
      </c>
      <c r="M6" s="221">
        <v>277.7</v>
      </c>
      <c r="N6" s="220">
        <f>K6*1.44</f>
        <v>248.67359999999999</v>
      </c>
      <c r="O6" s="221">
        <f>N6*0.76</f>
        <v>188.99193600000001</v>
      </c>
      <c r="P6" s="222">
        <f>1-K6/O6</f>
        <v>8.6257309941520477E-2</v>
      </c>
      <c r="Q6" s="220">
        <f>L6*1.44</f>
        <v>282.7296</v>
      </c>
      <c r="R6" s="221">
        <f>Q6*0.76</f>
        <v>214.87449599999999</v>
      </c>
      <c r="S6" s="222">
        <f>1-L6/R6</f>
        <v>8.6257309941520477E-2</v>
      </c>
      <c r="T6" s="220">
        <f>M6*1.44</f>
        <v>399.88799999999998</v>
      </c>
      <c r="U6" s="221">
        <f>T6*0.76</f>
        <v>303.91487999999998</v>
      </c>
      <c r="V6" s="222">
        <f>1-M6/U6</f>
        <v>8.6257309941520477E-2</v>
      </c>
      <c r="W6" s="256">
        <v>192.39</v>
      </c>
      <c r="X6" s="256">
        <v>218.74</v>
      </c>
      <c r="Y6" s="257">
        <v>309.32</v>
      </c>
      <c r="Z6" s="256">
        <f t="shared" ref="Z6:AB8" si="1">SUM(W6*1.47)</f>
        <v>282.81329999999997</v>
      </c>
      <c r="AA6" s="256">
        <f t="shared" si="1"/>
        <v>321.5478</v>
      </c>
      <c r="AB6" s="257">
        <f t="shared" si="1"/>
        <v>454.7004</v>
      </c>
      <c r="AC6" s="261">
        <f t="shared" ref="AC6:AE8" si="2">SUM(Z6*0.76)</f>
        <v>214.93810799999997</v>
      </c>
      <c r="AD6" s="261">
        <f t="shared" si="2"/>
        <v>244.376328</v>
      </c>
      <c r="AE6" s="262">
        <f t="shared" si="2"/>
        <v>345.57230400000003</v>
      </c>
      <c r="AF6" s="256">
        <f>SUM(AC6*0.9)</f>
        <v>193.44429719999997</v>
      </c>
      <c r="AG6" s="256">
        <f>SUM(AD6*0.9)</f>
        <v>219.93869520000001</v>
      </c>
      <c r="AH6" s="257">
        <f>SUM(AE6*0.9)</f>
        <v>311.01507360000005</v>
      </c>
      <c r="AI6" s="261">
        <v>152.81</v>
      </c>
      <c r="AJ6" s="261">
        <v>176</v>
      </c>
      <c r="AK6" s="262">
        <v>225</v>
      </c>
      <c r="AL6" s="256">
        <f t="shared" ref="AL6:AN8" si="3">SUM(AF6-AI6)</f>
        <v>40.634297199999963</v>
      </c>
      <c r="AM6" s="256">
        <f t="shared" si="3"/>
        <v>43.938695200000012</v>
      </c>
      <c r="AN6" s="257">
        <f t="shared" si="3"/>
        <v>86.015073600000051</v>
      </c>
      <c r="AO6" s="219">
        <v>320.64</v>
      </c>
      <c r="AP6" s="219">
        <v>364.56</v>
      </c>
      <c r="AQ6" s="220">
        <v>515.52</v>
      </c>
      <c r="AR6" s="219">
        <f>SUM(AO6*0.6)</f>
        <v>192.38399999999999</v>
      </c>
      <c r="AS6" s="219">
        <f t="shared" ref="AS6:AT8" si="4">SUM(AP6*0.6)</f>
        <v>218.73599999999999</v>
      </c>
      <c r="AT6" s="219">
        <f t="shared" si="4"/>
        <v>309.31199999999995</v>
      </c>
      <c r="AU6" s="219">
        <f>SUM(AR6*1.03)</f>
        <v>198.15552</v>
      </c>
      <c r="AV6" s="219">
        <f t="shared" ref="AV6:AW8" si="5">SUM(AS6*1.03)</f>
        <v>225.29808</v>
      </c>
      <c r="AW6" s="219">
        <f t="shared" si="5"/>
        <v>318.59135999999995</v>
      </c>
      <c r="AX6" s="219">
        <f>SUM(AU6*1.44)</f>
        <v>285.34394879999996</v>
      </c>
      <c r="AY6" s="219">
        <f t="shared" ref="AY6:AZ8" si="6">SUM(AV6*1.44)</f>
        <v>324.42923519999999</v>
      </c>
      <c r="AZ6" s="219">
        <f t="shared" si="6"/>
        <v>458.77155839999989</v>
      </c>
      <c r="BA6" s="219">
        <f>SUM(AX6*0.76)</f>
        <v>216.86140108799998</v>
      </c>
      <c r="BB6" s="219">
        <f t="shared" ref="BB6:BC8" si="7">SUM(AY6*0.76)</f>
        <v>246.566218752</v>
      </c>
      <c r="BC6" s="219">
        <f t="shared" si="7"/>
        <v>348.66638438399991</v>
      </c>
    </row>
    <row r="7" spans="1:55" ht="22.5" customHeight="1" thickBot="1">
      <c r="A7" s="223" t="s">
        <v>70</v>
      </c>
      <c r="B7" s="223" t="s">
        <v>68</v>
      </c>
      <c r="C7" s="223">
        <v>310</v>
      </c>
      <c r="D7" s="223">
        <v>4000</v>
      </c>
      <c r="E7" s="223" t="s">
        <v>69</v>
      </c>
      <c r="F7" s="223" t="s">
        <v>124</v>
      </c>
      <c r="G7" s="224" t="s">
        <v>124</v>
      </c>
      <c r="H7" s="219">
        <f t="shared" ref="H7:H8" si="8">SUM(AX7)</f>
        <v>285.34394879999996</v>
      </c>
      <c r="I7" s="219">
        <f t="shared" si="0"/>
        <v>324.42923519999999</v>
      </c>
      <c r="J7" s="219">
        <f t="shared" si="0"/>
        <v>458.77155839999989</v>
      </c>
      <c r="K7" s="220">
        <v>172.69</v>
      </c>
      <c r="L7" s="221">
        <v>196.34</v>
      </c>
      <c r="M7" s="221">
        <v>277.7</v>
      </c>
      <c r="N7" s="220">
        <f>K7*1.44</f>
        <v>248.67359999999999</v>
      </c>
      <c r="O7" s="221">
        <f>N7*0.76</f>
        <v>188.99193600000001</v>
      </c>
      <c r="P7" s="222">
        <f>1-K7/O7</f>
        <v>8.6257309941520477E-2</v>
      </c>
      <c r="Q7" s="220">
        <f>L7*1.44</f>
        <v>282.7296</v>
      </c>
      <c r="R7" s="221">
        <f>Q7*0.76</f>
        <v>214.87449599999999</v>
      </c>
      <c r="S7" s="222">
        <f>1-L7/R7</f>
        <v>8.6257309941520477E-2</v>
      </c>
      <c r="T7" s="220">
        <f>M7*1.44</f>
        <v>399.88799999999998</v>
      </c>
      <c r="U7" s="221">
        <f>T7*0.76</f>
        <v>303.91487999999998</v>
      </c>
      <c r="V7" s="222">
        <f>1-M7/U7</f>
        <v>8.6257309941520477E-2</v>
      </c>
      <c r="W7" s="256">
        <v>192.39</v>
      </c>
      <c r="X7" s="256">
        <v>218.74</v>
      </c>
      <c r="Y7" s="257">
        <v>309.32</v>
      </c>
      <c r="Z7" s="256">
        <f t="shared" si="1"/>
        <v>282.81329999999997</v>
      </c>
      <c r="AA7" s="256">
        <f t="shared" si="1"/>
        <v>321.5478</v>
      </c>
      <c r="AB7" s="257">
        <f t="shared" si="1"/>
        <v>454.7004</v>
      </c>
      <c r="AC7" s="261">
        <f t="shared" si="2"/>
        <v>214.93810799999997</v>
      </c>
      <c r="AD7" s="261">
        <f t="shared" si="2"/>
        <v>244.376328</v>
      </c>
      <c r="AE7" s="262">
        <f t="shared" si="2"/>
        <v>345.57230400000003</v>
      </c>
      <c r="AF7" s="256">
        <f t="shared" ref="AF7:AF8" si="9">SUM(AC7*0.9)</f>
        <v>193.44429719999997</v>
      </c>
      <c r="AG7" s="256">
        <f t="shared" ref="AG7:AG8" si="10">SUM(AD7*0.9)</f>
        <v>219.93869520000001</v>
      </c>
      <c r="AH7" s="257">
        <f t="shared" ref="AH7:AH8" si="11">SUM(AE7*0.9)</f>
        <v>311.01507360000005</v>
      </c>
      <c r="AI7" s="261">
        <v>157.53</v>
      </c>
      <c r="AJ7" s="261">
        <v>171.72</v>
      </c>
      <c r="AK7" s="262">
        <v>209</v>
      </c>
      <c r="AL7" s="256">
        <f t="shared" si="3"/>
        <v>35.914297199999965</v>
      </c>
      <c r="AM7" s="256">
        <f t="shared" si="3"/>
        <v>48.218695200000013</v>
      </c>
      <c r="AN7" s="257">
        <f t="shared" si="3"/>
        <v>102.01507360000005</v>
      </c>
      <c r="AO7" s="219">
        <v>320.64</v>
      </c>
      <c r="AP7" s="219">
        <v>364.56</v>
      </c>
      <c r="AQ7" s="220">
        <v>515.52</v>
      </c>
      <c r="AR7" s="219">
        <f t="shared" ref="AR7:AR8" si="12">SUM(AO7*0.6)</f>
        <v>192.38399999999999</v>
      </c>
      <c r="AS7" s="219">
        <f t="shared" si="4"/>
        <v>218.73599999999999</v>
      </c>
      <c r="AT7" s="219">
        <f t="shared" si="4"/>
        <v>309.31199999999995</v>
      </c>
      <c r="AU7" s="219">
        <f t="shared" ref="AU7:AU8" si="13">SUM(AR7*1.03)</f>
        <v>198.15552</v>
      </c>
      <c r="AV7" s="219">
        <f t="shared" si="5"/>
        <v>225.29808</v>
      </c>
      <c r="AW7" s="219">
        <f t="shared" si="5"/>
        <v>318.59135999999995</v>
      </c>
      <c r="AX7" s="219">
        <f t="shared" ref="AX7:AX8" si="14">SUM(AU7*1.44)</f>
        <v>285.34394879999996</v>
      </c>
      <c r="AY7" s="219">
        <f t="shared" si="6"/>
        <v>324.42923519999999</v>
      </c>
      <c r="AZ7" s="219">
        <f t="shared" si="6"/>
        <v>458.77155839999989</v>
      </c>
      <c r="BA7" s="219">
        <f t="shared" ref="BA7:BA8" si="15">SUM(AX7*0.76)</f>
        <v>216.86140108799998</v>
      </c>
      <c r="BB7" s="219">
        <f t="shared" si="7"/>
        <v>246.566218752</v>
      </c>
      <c r="BC7" s="219">
        <f t="shared" si="7"/>
        <v>348.66638438399991</v>
      </c>
    </row>
    <row r="8" spans="1:55" ht="19.7" customHeight="1" thickBot="1">
      <c r="A8" s="217" t="s">
        <v>71</v>
      </c>
      <c r="B8" s="217" t="s">
        <v>72</v>
      </c>
      <c r="C8" s="217" t="s">
        <v>23</v>
      </c>
      <c r="D8" s="217">
        <v>4000</v>
      </c>
      <c r="E8" s="217" t="s">
        <v>73</v>
      </c>
      <c r="F8" s="217" t="s">
        <v>124</v>
      </c>
      <c r="G8" s="218" t="s">
        <v>124</v>
      </c>
      <c r="H8" s="219">
        <f t="shared" si="8"/>
        <v>133.96855679999999</v>
      </c>
      <c r="I8" s="219">
        <f t="shared" si="0"/>
        <v>145.12815359999999</v>
      </c>
      <c r="J8" s="219">
        <f t="shared" si="0"/>
        <v>217.90581119999999</v>
      </c>
      <c r="K8" s="220">
        <v>81</v>
      </c>
      <c r="L8" s="221">
        <v>87.84</v>
      </c>
      <c r="M8" s="221">
        <v>131.76</v>
      </c>
      <c r="N8" s="220">
        <f>K8*1.44</f>
        <v>116.64</v>
      </c>
      <c r="O8" s="221">
        <f>N8*0.76</f>
        <v>88.6464</v>
      </c>
      <c r="P8" s="222">
        <f>1-K8/O8</f>
        <v>8.6257309941520477E-2</v>
      </c>
      <c r="Q8" s="220">
        <f>L8*1.44</f>
        <v>126.4896</v>
      </c>
      <c r="R8" s="221">
        <f>Q8*0.76</f>
        <v>96.132096000000004</v>
      </c>
      <c r="S8" s="222">
        <f>1-L8/R8</f>
        <v>8.6257309941520477E-2</v>
      </c>
      <c r="T8" s="220">
        <f>M8*1.44</f>
        <v>189.73439999999999</v>
      </c>
      <c r="U8" s="221">
        <f>T8*0.76</f>
        <v>144.19814399999998</v>
      </c>
      <c r="V8" s="222">
        <f>1-M8/U8</f>
        <v>8.6257309941520477E-2</v>
      </c>
      <c r="W8" s="256">
        <v>90.33</v>
      </c>
      <c r="X8" s="256">
        <v>97.85</v>
      </c>
      <c r="Y8" s="258">
        <v>146.91999999999999</v>
      </c>
      <c r="Z8" s="256">
        <f t="shared" si="1"/>
        <v>132.7851</v>
      </c>
      <c r="AA8" s="256">
        <f t="shared" si="1"/>
        <v>143.83949999999999</v>
      </c>
      <c r="AB8" s="257">
        <f t="shared" si="1"/>
        <v>215.97239999999996</v>
      </c>
      <c r="AC8" s="261">
        <f t="shared" si="2"/>
        <v>100.916676</v>
      </c>
      <c r="AD8" s="261">
        <f t="shared" si="2"/>
        <v>109.31801999999999</v>
      </c>
      <c r="AE8" s="262">
        <f t="shared" si="2"/>
        <v>164.13902399999998</v>
      </c>
      <c r="AF8" s="256">
        <f t="shared" si="9"/>
        <v>90.825008400000002</v>
      </c>
      <c r="AG8" s="256">
        <f t="shared" si="10"/>
        <v>98.386218</v>
      </c>
      <c r="AH8" s="257">
        <f t="shared" si="11"/>
        <v>147.72512159999999</v>
      </c>
      <c r="AI8" s="261">
        <v>71.7</v>
      </c>
      <c r="AJ8" s="261">
        <v>78.89</v>
      </c>
      <c r="AK8" s="262">
        <v>119</v>
      </c>
      <c r="AL8" s="256">
        <f t="shared" si="3"/>
        <v>19.125008399999999</v>
      </c>
      <c r="AM8" s="256">
        <f t="shared" si="3"/>
        <v>19.496217999999999</v>
      </c>
      <c r="AN8" s="257">
        <f t="shared" si="3"/>
        <v>28.725121599999994</v>
      </c>
      <c r="AO8" s="219">
        <v>150.54</v>
      </c>
      <c r="AP8" s="219">
        <v>163.08000000000001</v>
      </c>
      <c r="AQ8" s="220">
        <v>244.86</v>
      </c>
      <c r="AR8" s="219">
        <f t="shared" si="12"/>
        <v>90.323999999999998</v>
      </c>
      <c r="AS8" s="219">
        <f t="shared" si="4"/>
        <v>97.847999999999999</v>
      </c>
      <c r="AT8" s="219">
        <f t="shared" si="4"/>
        <v>146.916</v>
      </c>
      <c r="AU8" s="219">
        <f t="shared" si="13"/>
        <v>93.033720000000002</v>
      </c>
      <c r="AV8" s="219">
        <f t="shared" si="5"/>
        <v>100.78344</v>
      </c>
      <c r="AW8" s="219">
        <f t="shared" si="5"/>
        <v>151.32347999999999</v>
      </c>
      <c r="AX8" s="219">
        <f t="shared" si="14"/>
        <v>133.96855679999999</v>
      </c>
      <c r="AY8" s="219">
        <f t="shared" si="6"/>
        <v>145.12815359999999</v>
      </c>
      <c r="AZ8" s="219">
        <f t="shared" si="6"/>
        <v>217.90581119999999</v>
      </c>
      <c r="BA8" s="219">
        <f t="shared" si="15"/>
        <v>101.816103168</v>
      </c>
      <c r="BB8" s="219">
        <f t="shared" si="7"/>
        <v>110.297396736</v>
      </c>
      <c r="BC8" s="219">
        <f t="shared" si="7"/>
        <v>165.60841651199999</v>
      </c>
    </row>
    <row r="10" spans="1:55">
      <c r="A10" s="225" t="s">
        <v>84</v>
      </c>
      <c r="B10" s="334"/>
      <c r="C10" s="225"/>
      <c r="D10" s="225"/>
      <c r="E10" s="225"/>
      <c r="F10" s="334"/>
      <c r="G10" s="334"/>
      <c r="H10" s="334"/>
      <c r="I10" s="334"/>
    </row>
    <row r="11" spans="1:55" s="226" customFormat="1" ht="12.75" customHeight="1" thickBot="1">
      <c r="A11" s="225" t="s">
        <v>219</v>
      </c>
      <c r="B11" s="225"/>
      <c r="C11" s="225"/>
      <c r="D11" s="225"/>
      <c r="E11" s="225"/>
      <c r="F11" s="225"/>
      <c r="G11" s="225"/>
      <c r="H11" s="225"/>
      <c r="I11" s="225"/>
      <c r="J11" s="225"/>
      <c r="K11" s="785"/>
      <c r="L11" s="785"/>
      <c r="M11" s="785"/>
      <c r="N11" s="785"/>
      <c r="O11" s="785"/>
      <c r="P11" s="785"/>
    </row>
    <row r="12" spans="1:55" ht="13.5" thickBot="1">
      <c r="A12" s="334"/>
      <c r="B12" s="334"/>
      <c r="C12" s="334"/>
      <c r="D12" s="334"/>
      <c r="E12" s="334"/>
      <c r="F12" s="334"/>
      <c r="G12" s="334"/>
      <c r="H12" s="334"/>
      <c r="I12" s="334"/>
      <c r="K12" s="220"/>
      <c r="L12" s="221"/>
      <c r="M12" s="221"/>
      <c r="N12" s="220"/>
      <c r="O12" s="221"/>
      <c r="P12" s="221"/>
    </row>
    <row r="13" spans="1:55" ht="13.5" thickBot="1">
      <c r="K13" s="220"/>
      <c r="L13" s="221"/>
      <c r="M13" s="221"/>
      <c r="N13" s="220"/>
      <c r="O13" s="221"/>
      <c r="P13" s="221"/>
    </row>
    <row r="14" spans="1:55">
      <c r="K14" s="220"/>
      <c r="L14" s="221"/>
      <c r="M14" s="221"/>
      <c r="N14" s="220"/>
      <c r="O14" s="221"/>
      <c r="P14" s="221"/>
    </row>
    <row r="19" spans="16:16" ht="10.5" customHeight="1"/>
    <row r="20" spans="16:16" ht="14.25" customHeight="1"/>
    <row r="21" spans="16:16">
      <c r="P21" s="214">
        <v>0</v>
      </c>
    </row>
  </sheetData>
  <sheetProtection password="CC4F" sheet="1" objects="1" scenarios="1"/>
  <mergeCells count="35">
    <mergeCell ref="BA3:BC3"/>
    <mergeCell ref="BA4:BC4"/>
    <mergeCell ref="AO3:AQ3"/>
    <mergeCell ref="AO4:AQ4"/>
    <mergeCell ref="AR3:AT3"/>
    <mergeCell ref="AU3:AW3"/>
    <mergeCell ref="AX3:AZ3"/>
    <mergeCell ref="AR4:AT4"/>
    <mergeCell ref="AU4:AW4"/>
    <mergeCell ref="AX4:AZ4"/>
    <mergeCell ref="A2:J2"/>
    <mergeCell ref="H4:J4"/>
    <mergeCell ref="H3:J3"/>
    <mergeCell ref="A3:G3"/>
    <mergeCell ref="F4:G4"/>
    <mergeCell ref="A4:A5"/>
    <mergeCell ref="B4:B5"/>
    <mergeCell ref="C4:C5"/>
    <mergeCell ref="D4:D5"/>
    <mergeCell ref="E4:E5"/>
    <mergeCell ref="AI4:AK4"/>
    <mergeCell ref="AL4:AN4"/>
    <mergeCell ref="K2:M2"/>
    <mergeCell ref="K4:M4"/>
    <mergeCell ref="K11:M11"/>
    <mergeCell ref="N2:P2"/>
    <mergeCell ref="N4:P4"/>
    <mergeCell ref="N3:P3"/>
    <mergeCell ref="N11:P11"/>
    <mergeCell ref="K3:M3"/>
    <mergeCell ref="Q4:S4"/>
    <mergeCell ref="T4:V4"/>
    <mergeCell ref="W4:Y4"/>
    <mergeCell ref="AC4:AE4"/>
    <mergeCell ref="AF4:AH4"/>
  </mergeCells>
  <pageMargins left="0.39370078740157483" right="0.39370078740157483" top="0.39370078740157483" bottom="0.39370078740157483" header="0.31496062992125984" footer="0.31496062992125984"/>
  <pageSetup paperSize="9" orientation="portrait" r:id="rId1"/>
  <headerFooter>
    <oddHeader>&amp;L&amp;G&amp;R&amp;"Arial Cyr,полужирный курсив" 02160, Украина
 г. Киев, ул. Вискозная, 17
 тел.: 503-77-88
 www.stalex.ua</oddHeader>
  </headerFooter>
  <colBreaks count="1" manualBreakCount="1">
    <brk id="10" max="1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13</vt:i4>
      </vt:variant>
    </vt:vector>
  </HeadingPairs>
  <TitlesOfParts>
    <vt:vector size="27" baseType="lpstr">
      <vt:lpstr>Сводный</vt:lpstr>
      <vt:lpstr>Утеплители </vt:lpstr>
      <vt:lpstr>Паро-гидробарьеры</vt:lpstr>
      <vt:lpstr>Плиты ОSB-3</vt:lpstr>
      <vt:lpstr>Кровельные саморезы</vt:lpstr>
      <vt:lpstr>Водосточные системы Билка</vt:lpstr>
      <vt:lpstr>Водосточные системы Scala </vt:lpstr>
      <vt:lpstr>водосточные системы Bryza </vt:lpstr>
      <vt:lpstr>Софиты Bryza</vt:lpstr>
      <vt:lpstr>Мансардные окна и лест. Fak </vt:lpstr>
      <vt:lpstr>Мансардные окна Velux </vt:lpstr>
      <vt:lpstr>ЛКМ</vt:lpstr>
      <vt:lpstr>Абр. круги, Электроды</vt:lpstr>
      <vt:lpstr>Метизы разные</vt:lpstr>
      <vt:lpstr>'Абр. круги, Электроды'!Область_печати</vt:lpstr>
      <vt:lpstr>'водосточные системы Bryza '!Область_печати</vt:lpstr>
      <vt:lpstr>'Водосточные системы Scala '!Область_печати</vt:lpstr>
      <vt:lpstr>'Водосточные системы Билка'!Область_печати</vt:lpstr>
      <vt:lpstr>'Кровельные саморезы'!Область_печати</vt:lpstr>
      <vt:lpstr>ЛКМ!Область_печати</vt:lpstr>
      <vt:lpstr>'Мансардные окна Velux '!Область_печати</vt:lpstr>
      <vt:lpstr>'Мансардные окна и лест. Fak '!Область_печати</vt:lpstr>
      <vt:lpstr>'Метизы разные'!Область_печати</vt:lpstr>
      <vt:lpstr>'Паро-гидробарьеры'!Область_печати</vt:lpstr>
      <vt:lpstr>Сводный!Область_печати</vt:lpstr>
      <vt:lpstr>'Софиты Bryza'!Область_печати</vt:lpstr>
      <vt:lpstr>'Утеплители 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Default</dc:creator>
  <cp:lastModifiedBy>Сорочан Дмитрий Владимирович</cp:lastModifiedBy>
  <cp:lastPrinted>2016-06-23T14:02:59Z</cp:lastPrinted>
  <dcterms:created xsi:type="dcterms:W3CDTF">2007-10-11T14:10:45Z</dcterms:created>
  <dcterms:modified xsi:type="dcterms:W3CDTF">2016-08-26T14:30:18Z</dcterms:modified>
</cp:coreProperties>
</file>